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victo\Dropbox (MIT)\00 Personal Files\06 MIT\02 Classes\08 Spring 2018\2.77 Fundamentals\02 Homework\Week10\Leadscrew\"/>
    </mc:Choice>
  </mc:AlternateContent>
  <xr:revisionPtr revIDLastSave="0" documentId="13_ncr:1_{A7D53D49-147F-43ED-85EF-C025E21BDAF6}" xr6:coauthVersionLast="31" xr6:coauthVersionMax="31" xr10:uidLastSave="{00000000-0000-0000-0000-000000000000}"/>
  <bookViews>
    <workbookView xWindow="0" yWindow="0" windowWidth="18762" windowHeight="8808" xr2:uid="{00000000-000D-0000-FFFF-FFFF00000000}"/>
  </bookViews>
  <sheets>
    <sheet name="FRDPARRC" sheetId="4" r:id="rId1"/>
    <sheet name="A- ANALYSIS" sheetId="16" r:id="rId2"/>
    <sheet name="A-2 ANTIBACKLASH" sheetId="18" r:id="rId3"/>
    <sheet name="B- DRIVING TORQUE AND STIFFNESS" sheetId="12" r:id="rId4"/>
    <sheet name="C - ERROR MEASUREMENTS LastWeek" sheetId="13" r:id="rId5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8" l="1"/>
  <c r="D4" i="12"/>
  <c r="D5" i="12"/>
  <c r="D6" i="12"/>
  <c r="D7" i="12"/>
  <c r="D8" i="12"/>
  <c r="D9" i="12"/>
  <c r="D11" i="12"/>
  <c r="F22" i="4"/>
  <c r="C23" i="16"/>
  <c r="C20" i="16"/>
  <c r="C21" i="16"/>
  <c r="C22" i="16"/>
  <c r="C8" i="18"/>
  <c r="C13" i="18"/>
  <c r="G6" i="18"/>
  <c r="G31" i="16"/>
  <c r="C33" i="16"/>
  <c r="J26" i="12"/>
  <c r="D12" i="12"/>
  <c r="H5" i="13"/>
  <c r="H4" i="13"/>
  <c r="D5" i="13"/>
  <c r="D4" i="13"/>
  <c r="F23" i="4"/>
  <c r="J27" i="12"/>
  <c r="G32" i="16"/>
  <c r="C53" i="16"/>
  <c r="K49" i="16"/>
  <c r="C54" i="16"/>
  <c r="K52" i="16"/>
  <c r="C55" i="16"/>
  <c r="K55" i="16"/>
  <c r="K58" i="16"/>
  <c r="D32" i="4"/>
  <c r="C25" i="16"/>
  <c r="D33" i="4"/>
  <c r="K48" i="16"/>
  <c r="K51" i="16"/>
  <c r="K54" i="16"/>
  <c r="K57" i="16"/>
  <c r="D31" i="4"/>
  <c r="K35" i="16"/>
  <c r="D28" i="4"/>
  <c r="C10" i="16"/>
  <c r="K32" i="16"/>
  <c r="K31" i="16"/>
  <c r="K33" i="16"/>
  <c r="D27" i="4"/>
  <c r="D29" i="4"/>
  <c r="C42" i="16"/>
  <c r="C26" i="16"/>
  <c r="H21" i="16"/>
  <c r="H25" i="16"/>
  <c r="H26" i="16"/>
  <c r="D24" i="4"/>
  <c r="D23" i="4"/>
  <c r="G21" i="16"/>
  <c r="G25" i="16"/>
  <c r="G26" i="16"/>
  <c r="D21" i="4"/>
  <c r="J4" i="12"/>
  <c r="J5" i="12"/>
  <c r="J6" i="12"/>
  <c r="J7" i="12"/>
  <c r="C48" i="16"/>
  <c r="G48" i="16"/>
  <c r="G50" i="16"/>
  <c r="G49" i="16"/>
  <c r="G52" i="16"/>
  <c r="C58" i="16"/>
  <c r="C60" i="16"/>
  <c r="C59" i="16"/>
  <c r="C50" i="16"/>
  <c r="C49" i="16"/>
  <c r="C41" i="16"/>
  <c r="G7" i="16"/>
  <c r="H19" i="16"/>
  <c r="H20" i="16"/>
  <c r="G2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PROST</author>
  </authors>
  <commentList>
    <comment ref="F34" authorId="0" shapeId="0" xr:uid="{F1FDC782-5651-404C-9F8D-756B6AC52A39}">
      <text>
        <r>
          <rPr>
            <b/>
            <sz val="9"/>
            <color indexed="81"/>
            <rFont val="Tahoma"/>
            <family val="2"/>
          </rPr>
          <t>Not measurable using 0.0002" resolution dial indicator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PROST</author>
  </authors>
  <commentList>
    <comment ref="B19" authorId="0" shapeId="0" xr:uid="{BFD6CFD9-3942-4FC1-9178-B4F16DAF02F4}">
      <text>
        <r>
          <rPr>
            <b/>
            <sz val="9"/>
            <color indexed="81"/>
            <rFont val="Tahoma"/>
            <family val="2"/>
          </rPr>
          <t xml:space="preserve">Preload to sustain cutting loads
</t>
        </r>
      </text>
    </comment>
    <comment ref="B20" authorId="0" shapeId="0" xr:uid="{96C3775A-F5E0-4D22-9BD4-52EBAA6172E2}">
      <text>
        <r>
          <rPr>
            <b/>
            <sz val="9"/>
            <color indexed="81"/>
            <rFont val="Tahoma"/>
            <family val="2"/>
          </rPr>
          <t xml:space="preserve">The tangent is from the dovetail geometry
</t>
        </r>
      </text>
    </comment>
    <comment ref="G31" authorId="0" shapeId="0" xr:uid="{2A0AF836-49C6-43FA-8322-518773D05A0B}">
      <text>
        <r>
          <rPr>
            <b/>
            <sz val="9"/>
            <color indexed="81"/>
            <rFont val="Tahoma"/>
            <family val="2"/>
          </rPr>
          <t>Leadscrew axial compression in series with the two delrin shoulder bushings, two ball bearings and the coupling nut (to the carriage in shear)</t>
        </r>
      </text>
    </comment>
    <comment ref="B48" authorId="0" shapeId="0" xr:uid="{09C52B78-B85C-49EE-8F19-C4507705073E}">
      <text>
        <r>
          <rPr>
            <b/>
            <sz val="9"/>
            <color indexed="81"/>
            <rFont val="Tahoma"/>
            <family val="2"/>
          </rPr>
          <t>Victor PROST:</t>
        </r>
        <r>
          <rPr>
            <sz val="9"/>
            <color indexed="81"/>
            <rFont val="Tahoma"/>
            <family val="2"/>
          </rPr>
          <t xml:space="preserve">
Treated as imposed displacement on the leadscrew (no angular since the coupling nut is only one diameter long (St Venant principle) so can be treated as a pinned joint)</t>
        </r>
      </text>
    </comment>
  </commentList>
</comments>
</file>

<file path=xl/sharedStrings.xml><?xml version="1.0" encoding="utf-8"?>
<sst xmlns="http://schemas.openxmlformats.org/spreadsheetml/2006/main" count="297" uniqueCount="210">
  <si>
    <t>kg/m3</t>
  </si>
  <si>
    <t>mm</t>
  </si>
  <si>
    <t>MPa</t>
  </si>
  <si>
    <t>Target</t>
  </si>
  <si>
    <t>Design Parameters</t>
  </si>
  <si>
    <t>Analysis</t>
  </si>
  <si>
    <t>Predicted</t>
  </si>
  <si>
    <t>Density</t>
  </si>
  <si>
    <t>Modulus of Elasticity</t>
  </si>
  <si>
    <t>Yield Strength</t>
  </si>
  <si>
    <t>GPa</t>
  </si>
  <si>
    <t>Risks</t>
  </si>
  <si>
    <t>CMs</t>
  </si>
  <si>
    <t>Aluminum</t>
  </si>
  <si>
    <t>Poisson's Ratio</t>
  </si>
  <si>
    <t>SUMMARY</t>
  </si>
  <si>
    <t>References</t>
  </si>
  <si>
    <t>deg</t>
  </si>
  <si>
    <t>Functional Requirements (see FRDPARRC picture below table):</t>
  </si>
  <si>
    <t>Vertical Stiffness Kz</t>
  </si>
  <si>
    <t>TOOL LOADS</t>
  </si>
  <si>
    <t>MMR:</t>
  </si>
  <si>
    <t>Cutting Force (Fz), [N]</t>
  </si>
  <si>
    <t>Thrust Force (Fx), [N]</t>
  </si>
  <si>
    <t>Radial Force (Fy), [N]</t>
  </si>
  <si>
    <t>Roughing:</t>
  </si>
  <si>
    <t>Finishing:</t>
  </si>
  <si>
    <t>N</t>
  </si>
  <si>
    <t>Shear Modulus</t>
  </si>
  <si>
    <t>N/um</t>
  </si>
  <si>
    <t>um</t>
  </si>
  <si>
    <t>DESIGN PARAMETERS</t>
  </si>
  <si>
    <t>Range of Motion</t>
  </si>
  <si>
    <t>Measured</t>
  </si>
  <si>
    <t>Displacement (") ± 0.0002</t>
  </si>
  <si>
    <t>Stiffness [N/um]</t>
  </si>
  <si>
    <t>Load (kg)</t>
  </si>
  <si>
    <t>± [N/um]</t>
  </si>
  <si>
    <t>LEADSCREW DESIGN</t>
  </si>
  <si>
    <t>Written by Victor Prost 04/18</t>
  </si>
  <si>
    <t>Leadscrew for actuating LMS for T-based lathe</t>
  </si>
  <si>
    <t>- Driving torque &lt;500Nmm (about 1kg at 50mm)</t>
  </si>
  <si>
    <t>- Not fail under cutting loads (secure mounting + stress considerations)</t>
  </si>
  <si>
    <t>- Resolution &lt;100um</t>
  </si>
  <si>
    <t>- No backlash in the nut</t>
  </si>
  <si>
    <t>Thread type</t>
  </si>
  <si>
    <t>Lead</t>
  </si>
  <si>
    <t>Bearing Layout</t>
  </si>
  <si>
    <t>ACME</t>
  </si>
  <si>
    <t>Thread angle [deg]</t>
  </si>
  <si>
    <t>Lead [mm/rev]</t>
  </si>
  <si>
    <t>Diameter (out)  [mm]</t>
  </si>
  <si>
    <t>Diameter (root)  [mm]</t>
  </si>
  <si>
    <t>Ball bearing concept</t>
  </si>
  <si>
    <t>LOADS FROM CARRIAGE</t>
  </si>
  <si>
    <t>Friction from cutting force [N]</t>
  </si>
  <si>
    <t>Friction from radial force [N]</t>
  </si>
  <si>
    <t>Cutting load from thrust force [N]</t>
  </si>
  <si>
    <t>Preload force on the leadscrew nut [N]</t>
  </si>
  <si>
    <t>FRICTION COEFFICIENTS</t>
  </si>
  <si>
    <t>Total load to move the carriage [N]</t>
  </si>
  <si>
    <t>LOADS FROM MOUNTING LEADSCREW</t>
  </si>
  <si>
    <t>Axial Leadscrew Preload [N]</t>
  </si>
  <si>
    <t>Friction from axial preload [N]</t>
  </si>
  <si>
    <t>Friction from carriage loads [N]</t>
  </si>
  <si>
    <t>Total friction loads on mounting blocks [N]</t>
  </si>
  <si>
    <t>Sliding Brass/Aluminum</t>
  </si>
  <si>
    <t>Sliding Teflon/Aluminum</t>
  </si>
  <si>
    <t>Sliding Delrin/Aluminum</t>
  </si>
  <si>
    <t>Sliding Steel/Steel</t>
  </si>
  <si>
    <t>Sliding Brass/Steel</t>
  </si>
  <si>
    <t>Rolling Steel/Steel (hardened)</t>
  </si>
  <si>
    <t>Preload on carriage rails [N]</t>
  </si>
  <si>
    <t>mm/rev</t>
  </si>
  <si>
    <t xml:space="preserve">Thread angle </t>
  </si>
  <si>
    <t xml:space="preserve">Diameter (out) </t>
  </si>
  <si>
    <t xml:space="preserve">Diameter (root) </t>
  </si>
  <si>
    <t>Mean Diameter</t>
  </si>
  <si>
    <t>Driving torque to move the carriage [Nmm]</t>
  </si>
  <si>
    <t>BALL BEARING CONCEPT</t>
  </si>
  <si>
    <t>BUSHING CONCEPT</t>
  </si>
  <si>
    <t>LEAD SCREW PARAMETERS</t>
  </si>
  <si>
    <t>Driving torque to overome mounting blocks friction [Nmm]</t>
  </si>
  <si>
    <t>Axial Stiffness Kx (worst case scenario)</t>
  </si>
  <si>
    <t>LEADSCREW MATERIAL PROPERTIES 304 STEEL</t>
  </si>
  <si>
    <t>Utlimate Strength</t>
  </si>
  <si>
    <t>Minimum dist from bearing mounts (carriage geometry)</t>
  </si>
  <si>
    <t>Leadscrew length</t>
  </si>
  <si>
    <t>LEADSCREW STIFFNESS ANALYSIS</t>
  </si>
  <si>
    <t>CARRIAGE STIFFNESS (WEEK 7)</t>
  </si>
  <si>
    <t>Lateral Stiffness Ky</t>
  </si>
  <si>
    <t>FAILURE ANALYSIS</t>
  </si>
  <si>
    <t>Shear Stress</t>
  </si>
  <si>
    <t xml:space="preserve">Compressive Stress </t>
  </si>
  <si>
    <t>Radial Bending Stiffness Kr (worst case scenario)</t>
  </si>
  <si>
    <t>Buckling Load</t>
  </si>
  <si>
    <t>kN</t>
  </si>
  <si>
    <t>GEOMETRIC ANALYSIS</t>
  </si>
  <si>
    <t>Backdrivability condition (lead has to be smaller than)</t>
  </si>
  <si>
    <t>Resolution using the leadscrew (2 deg res)</t>
  </si>
  <si>
    <t>Translational misalignment</t>
  </si>
  <si>
    <t>CARRIAGE/TOOL TIP ERRORS</t>
  </si>
  <si>
    <t>Angular misalignment</t>
  </si>
  <si>
    <t>Deflection in Y (angular misalignment)</t>
  </si>
  <si>
    <t>Deflection in Z (angular misalignment)</t>
  </si>
  <si>
    <t>Deflection in Y (translation misalignment)</t>
  </si>
  <si>
    <t>Deflection in Z (translation misalignment)</t>
  </si>
  <si>
    <t>LOADS INDUCED ON LEADSCREW</t>
  </si>
  <si>
    <t>Radial Load (angular misalignment)</t>
  </si>
  <si>
    <t>Radial Load (translation misalignment)</t>
  </si>
  <si>
    <t>Increased driving torque (angular mis)</t>
  </si>
  <si>
    <t>Increased driving torque (translation mis)</t>
  </si>
  <si>
    <t>Nmm</t>
  </si>
  <si>
    <t>ADDITIONAL DRIVING TORQUE</t>
  </si>
  <si>
    <t>DRIVING TORQUE</t>
  </si>
  <si>
    <t>Bowed Leadscrew</t>
  </si>
  <si>
    <t>Radial Load (bowing)</t>
  </si>
  <si>
    <t>LEADSCREW GEOMETIC ERRORS</t>
  </si>
  <si>
    <t>Increased driving torque (bowing)</t>
  </si>
  <si>
    <t>Deflection in Y (bowing)</t>
  </si>
  <si>
    <t>Deflection in Z (bowing)</t>
  </si>
  <si>
    <t>STIFFNESS/ STRESS</t>
  </si>
  <si>
    <t>ERROR ANALYSIS</t>
  </si>
  <si>
    <t>Expected Error Y</t>
  </si>
  <si>
    <t>Expected Error Z</t>
  </si>
  <si>
    <t>STESS INDUCED ON LEADSCREW</t>
  </si>
  <si>
    <t>Bending Stress angular misalignment</t>
  </si>
  <si>
    <t>Bending Stress translation misalignment</t>
  </si>
  <si>
    <t>Bending Stress bowing</t>
  </si>
  <si>
    <t>ALL OF THIS ANALYSIS IS BASED ON WORST CASE SCENARIO, CARRIAGE CLOSE TO THE SUPPORTS (STIFF LEADSCREW) AND MAX GEOMETRIC ERRORS.</t>
  </si>
  <si>
    <t>T8 - ACME</t>
  </si>
  <si>
    <t>Driving Torque [Nmm]</t>
  </si>
  <si>
    <t>Axial Stiffness [N/um]</t>
  </si>
  <si>
    <t>Resolution [um]</t>
  </si>
  <si>
    <t>Safety Factor - VM Stress under cutting loads [-]</t>
  </si>
  <si>
    <t>Safety Factor - Compressive load buckling [-]</t>
  </si>
  <si>
    <t>Safety Factor - Fatigue Stress/Endurance limit [-]</t>
  </si>
  <si>
    <t>Backdriveable [-]</t>
  </si>
  <si>
    <t xml:space="preserve">Expected increased torque </t>
  </si>
  <si>
    <t>X - Accuracy at Tool Tip [um] (LeadError)</t>
  </si>
  <si>
    <t>Y - Accuracy at Tool Tip [um] (Alignment &amp; Bowing)</t>
  </si>
  <si>
    <t>Z - Accuracy at Tool Tip  [um] (Alignment &amp; Bowing)</t>
  </si>
  <si>
    <t>X - Accuracy at Tool Tip [um] (Cutting Loads)</t>
  </si>
  <si>
    <t>-Fundamentals Topic 8 (Structures)
-Fundamentals Topic 10 (Bearings)
- Fundamentals Topic 6 (Leadscrews)
- Shigley Machine Design Textbook
- Kalpakjian Menufacturing Engineering Textbook (Cutting Loads)</t>
  </si>
  <si>
    <t>Thermal Stability</t>
  </si>
  <si>
    <t>Yes</t>
  </si>
  <si>
    <t>DRIVING GEOMETRY</t>
  </si>
  <si>
    <t>No</t>
  </si>
  <si>
    <t>Test #</t>
  </si>
  <si>
    <t>Torque [Nmm]</t>
  </si>
  <si>
    <t>Handle Diameter [mm]</t>
  </si>
  <si>
    <t>DRIVING TORQUE (NO LOAD)</t>
  </si>
  <si>
    <t>Average Torque [Nmm]</t>
  </si>
  <si>
    <t>X - AXIS (AXIAL) STIFFNESS</t>
  </si>
  <si>
    <t>Displacement (um) ± 5</t>
  </si>
  <si>
    <t>Von Mises Stress</t>
  </si>
  <si>
    <t>NA</t>
  </si>
  <si>
    <t>Driving Torque without cutting loads [Nmm]</t>
  </si>
  <si>
    <t>&lt;5</t>
  </si>
  <si>
    <t>&lt; 50</t>
  </si>
  <si>
    <t>&lt; 5</t>
  </si>
  <si>
    <t>&lt; 20</t>
  </si>
  <si>
    <t>&gt; 2</t>
  </si>
  <si>
    <t>&lt; 100</t>
  </si>
  <si>
    <t>&lt; 500</t>
  </si>
  <si>
    <t>CHOSEN CONCEPT</t>
  </si>
  <si>
    <t>± [Nmm]</t>
  </si>
  <si>
    <t>- Axial Stiffness &gt;0.5 N/um</t>
  </si>
  <si>
    <t>&gt; 0.5</t>
  </si>
  <si>
    <t>- Wear of the delrin shoulder bushing
- not enough preload on the anti-backlash nut spring
- carriage/nut coupler too compliant</t>
  </si>
  <si>
    <t>-Use bronze shoulder bushings
- change the anti-blacklash strategy to a splitnut
- change the coupler's dimension to increase stiffness</t>
  </si>
  <si>
    <t>This design is robust enough, fulfill all the requirements and can be made using a lathe and a thread die (available material too)</t>
  </si>
  <si>
    <t>Z- AXIS Displacement (Vertical)</t>
  </si>
  <si>
    <t>Travel [mm]</t>
  </si>
  <si>
    <t>Carriage Error Motion ["] ± 0.0002</t>
  </si>
  <si>
    <t>Carriage Error Motion [um] ± 5</t>
  </si>
  <si>
    <t>The measured error motion is on the order of the flatness of my rails 30um (see week 7 spreadsheet), so the leadscrew didn't change that measurement.</t>
  </si>
  <si>
    <t>&lt;10</t>
  </si>
  <si>
    <t>GEOMETRIC ERRORS</t>
  </si>
  <si>
    <t xml:space="preserve">STRESS AND STIFFNESS </t>
  </si>
  <si>
    <t>DIFFERENT CONCEPTS</t>
  </si>
  <si>
    <t>- Travel of 100mm</t>
  </si>
  <si>
    <t>&gt;100</t>
  </si>
  <si>
    <t>Load reading [N] ± 0.1</t>
  </si>
  <si>
    <t>BALL BEARINGS STIFFNESS (ESTIMATE)</t>
  </si>
  <si>
    <t>Ball diameter</t>
  </si>
  <si>
    <t>Static Load Capacity</t>
  </si>
  <si>
    <t xml:space="preserve">Axial Stiffness </t>
  </si>
  <si>
    <t>Moment Arm</t>
  </si>
  <si>
    <t>Beam length</t>
  </si>
  <si>
    <t>Beam width</t>
  </si>
  <si>
    <t>Beam thickness</t>
  </si>
  <si>
    <t>Delrin Yield Stress</t>
  </si>
  <si>
    <t>Delrin Young's Modulus</t>
  </si>
  <si>
    <t>Thread mean diameter</t>
  </si>
  <si>
    <t>Engagement Length</t>
  </si>
  <si>
    <t xml:space="preserve">Fmax </t>
  </si>
  <si>
    <t>Second area moment</t>
  </si>
  <si>
    <t>mm^4</t>
  </si>
  <si>
    <t>Target mean displacement</t>
  </si>
  <si>
    <t>Necessary applied force</t>
  </si>
  <si>
    <t>BALL BEARINGS</t>
  </si>
  <si>
    <t>&lt; 200</t>
  </si>
  <si>
    <t>SET SCREW PARAMETERS</t>
  </si>
  <si>
    <t>MATERIAL CHARACTERISTICS</t>
  </si>
  <si>
    <t>COMPLIANT STRUCTURE ANALYSIS</t>
  </si>
  <si>
    <t>LOAD DISPLACEMENT ANALYSIS</t>
  </si>
  <si>
    <t>Compliant Structure Length</t>
  </si>
  <si>
    <t>STRIPPING THREAD CALCULATION</t>
  </si>
  <si>
    <t>Bending Stiffness (pin-pin)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</si>
</sst>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00"/>
    <numFmt numFmtId="166" formatCode="0.0000"/>
    <numFmt numFmtId="168" formatCode="0.0E+0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8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0" borderId="7" xfId="0" applyFont="1" applyBorder="1" applyAlignment="1">
      <alignment horizontal="center" vertical="center" textRotation="90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/>
    <xf numFmtId="15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/>
    <xf numFmtId="0" fontId="8" fillId="0" borderId="0" xfId="0" applyFont="1" applyFill="1" applyBorder="1" applyAlignment="1"/>
    <xf numFmtId="0" fontId="1" fillId="0" borderId="0" xfId="0" applyFont="1" applyFill="1"/>
    <xf numFmtId="0" fontId="2" fillId="0" borderId="0" xfId="0" applyFont="1" applyFill="1" applyAlignment="1"/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5" borderId="0" xfId="0" applyFont="1" applyFill="1"/>
    <xf numFmtId="0" fontId="10" fillId="0" borderId="0" xfId="0" applyFont="1" applyAlignment="1">
      <alignment vertical="center" textRotation="90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11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4" fontId="1" fillId="0" borderId="0" xfId="0" applyNumberFormat="1" applyFont="1" applyFill="1"/>
    <xf numFmtId="0" fontId="4" fillId="0" borderId="6" xfId="0" applyFont="1" applyBorder="1" applyAlignment="1">
      <alignment horizontal="center" vertical="center"/>
    </xf>
    <xf numFmtId="0" fontId="2" fillId="4" borderId="0" xfId="0" applyFont="1" applyFill="1" applyAlignment="1"/>
    <xf numFmtId="0" fontId="2" fillId="0" borderId="0" xfId="0" applyFont="1" applyAlignment="1">
      <alignment wrapText="1"/>
    </xf>
    <xf numFmtId="0" fontId="2" fillId="4" borderId="0" xfId="0" applyFont="1" applyFill="1" applyAlignment="1">
      <alignment horizontal="center"/>
    </xf>
    <xf numFmtId="0" fontId="3" fillId="3" borderId="9" xfId="0" applyFont="1" applyFill="1" applyBorder="1"/>
    <xf numFmtId="0" fontId="17" fillId="0" borderId="0" xfId="0" applyFont="1"/>
    <xf numFmtId="0" fontId="17" fillId="5" borderId="0" xfId="0" applyFont="1" applyFill="1"/>
    <xf numFmtId="164" fontId="17" fillId="0" borderId="0" xfId="0" applyNumberFormat="1" applyFont="1"/>
    <xf numFmtId="0" fontId="3" fillId="0" borderId="1" xfId="0" applyFont="1" applyBorder="1" applyAlignment="1">
      <alignment horizontal="center" vertical="center" textRotation="90" wrapText="1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0" borderId="0" xfId="0" applyFont="1"/>
    <xf numFmtId="0" fontId="0" fillId="0" borderId="0" xfId="0" applyFont="1"/>
    <xf numFmtId="1" fontId="11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3" fillId="0" borderId="6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1" fontId="5" fillId="0" borderId="6" xfId="0" quotePrefix="1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" fontId="5" fillId="0" borderId="1" xfId="0" quotePrefix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/>
    </xf>
    <xf numFmtId="2" fontId="5" fillId="6" borderId="6" xfId="0" applyNumberFormat="1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" fontId="5" fillId="6" borderId="6" xfId="0" quotePrefix="1" applyNumberFormat="1" applyFont="1" applyFill="1" applyBorder="1" applyAlignment="1">
      <alignment horizontal="center" vertical="center"/>
    </xf>
    <xf numFmtId="1" fontId="3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/>
    <xf numFmtId="0" fontId="0" fillId="0" borderId="0" xfId="0" applyFill="1" applyAlignment="1"/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/>
    </xf>
    <xf numFmtId="15" fontId="7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0" fillId="0" borderId="0" xfId="0" applyFont="1" applyAlignment="1">
      <alignment horizontal="center" vertical="center" textRotation="90" wrapText="1"/>
    </xf>
    <xf numFmtId="0" fontId="16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164" fontId="0" fillId="0" borderId="0" xfId="0" applyNumberFormat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0" fontId="5" fillId="0" borderId="10" xfId="0" quotePrefix="1" applyFont="1" applyBorder="1" applyAlignment="1">
      <alignment vertical="center" wrapText="1"/>
    </xf>
    <xf numFmtId="164" fontId="5" fillId="6" borderId="6" xfId="0" applyNumberFormat="1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164" fontId="3" fillId="6" borderId="6" xfId="0" applyNumberFormat="1" applyFont="1" applyFill="1" applyBorder="1" applyAlignment="1">
      <alignment horizontal="center" vertical="center"/>
    </xf>
    <xf numFmtId="1" fontId="0" fillId="0" borderId="0" xfId="0" applyNumberFormat="1"/>
    <xf numFmtId="168" fontId="0" fillId="0" borderId="0" xfId="0" applyNumberFormat="1"/>
    <xf numFmtId="164" fontId="0" fillId="0" borderId="0" xfId="1" applyNumberFormat="1" applyFont="1"/>
    <xf numFmtId="164" fontId="0" fillId="0" borderId="0" xfId="0" applyNumberFormat="1" applyFont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2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AXIAL STIFFNESS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4606671041119859"/>
                  <c:y val="-0.10698381452318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'B- DRIVING TORQUE AND STIFFNESS'!$J$4:$J$8</c:f>
              <c:numCache>
                <c:formatCode>0.0</c:formatCode>
                <c:ptCount val="5"/>
                <c:pt idx="0">
                  <c:v>20.32</c:v>
                </c:pt>
                <c:pt idx="1">
                  <c:v>40.64</c:v>
                </c:pt>
                <c:pt idx="2">
                  <c:v>60.959999999999994</c:v>
                </c:pt>
                <c:pt idx="3">
                  <c:v>76.199999999999989</c:v>
                </c:pt>
              </c:numCache>
            </c:numRef>
          </c:xVal>
          <c:yVal>
            <c:numRef>
              <c:f>'B- DRIVING TORQUE AND STIFFNESS'!$H$4:$H$8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16.5</c:v>
                </c:pt>
                <c:pt idx="3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32-4501-9B17-43CAF1C4D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866648"/>
        <c:axId val="688867632"/>
      </c:scatterChart>
      <c:valAx>
        <c:axId val="688866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867632"/>
        <c:crosses val="autoZero"/>
        <c:crossBetween val="midCat"/>
      </c:valAx>
      <c:valAx>
        <c:axId val="68886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866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chart" Target="../charts/chart1.xml"/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315806</xdr:colOff>
      <xdr:row>13</xdr:row>
      <xdr:rowOff>0</xdr:rowOff>
    </xdr:from>
    <xdr:to>
      <xdr:col>11</xdr:col>
      <xdr:colOff>821615</xdr:colOff>
      <xdr:row>31</xdr:row>
      <xdr:rowOff>99605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F4B2CC-7DD9-410E-9CFA-7E7EFD6CA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1486" y="2213610"/>
          <a:ext cx="5147733" cy="2895600"/>
        </a:xfrm>
        <a:prstGeom prst="rect">
          <a:avLst/>
        </a:prstGeom>
      </xdr:spPr>
    </xdr:pic>
    <xdr:clientData/>
  </xdr:twoCellAnchor>
  <xdr:twoCellAnchor>
    <xdr:from>
      <xdr:col>6</xdr:col>
      <xdr:colOff>617220</xdr:colOff>
      <xdr:row>27</xdr:row>
      <xdr:rowOff>22860</xdr:rowOff>
    </xdr:from>
    <xdr:to>
      <xdr:col>9</xdr:col>
      <xdr:colOff>678180</xdr:colOff>
      <xdr:row>29</xdr:row>
      <xdr:rowOff>43180</xdr:rowOff>
    </xdr:to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955530" y="4739640"/>
          <a:ext cx="1992630" cy="309880"/>
        </a:xfrm>
        <a:prstGeom prst="rect">
          <a:avLst/>
        </a:prstGeom>
        <a:noFill/>
        <a:ln w="9525" cmpd="sng"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FFFFFF"/>
              </a:solidFill>
              <a:effectLst>
                <a:outerShdw blurRad="63500" dist="38100" dir="5400000" sx="101000" sy="101000" algn="t">
                  <a:srgbClr val="000000"/>
                </a:outerShdw>
              </a:effectLst>
              <a:ea typeface="DengXian" panose="02010600030101010101" pitchFamily="2" charset="-122"/>
              <a:cs typeface="Times New Roman" panose="02020603050405020304" pitchFamily="18" charset="0"/>
            </a:rPr>
            <a:t>LMS</a:t>
          </a:r>
          <a:r>
            <a:rPr lang="en-US" sz="1100" b="1" baseline="0">
              <a:solidFill>
                <a:srgbClr val="FFFFFF"/>
              </a:solidFill>
              <a:effectLst>
                <a:outerShdw blurRad="63500" dist="38100" dir="5400000" sx="101000" sy="101000" algn="t">
                  <a:srgbClr val="000000"/>
                </a:outerShdw>
              </a:effectLst>
              <a:ea typeface="DengXian" panose="02010600030101010101" pitchFamily="2" charset="-122"/>
              <a:cs typeface="Times New Roman" panose="02020603050405020304" pitchFamily="18" charset="0"/>
            </a:rPr>
            <a:t> with leadscrew</a:t>
          </a:r>
          <a:endParaRPr lang="en-US" sz="1800">
            <a:effectLst/>
            <a:latin typeface="Times New Roman" panose="02020603050405020304" pitchFamily="18" charset="0"/>
            <a:ea typeface="DengXian" panose="02010600030101010101" pitchFamily="2" charset="-122"/>
          </a:endParaRPr>
        </a:p>
      </xdr:txBody>
    </xdr:sp>
    <xdr:clientData/>
  </xdr:twoCellAnchor>
  <xdr:twoCellAnchor editAs="oneCell">
    <xdr:from>
      <xdr:col>6</xdr:col>
      <xdr:colOff>303439</xdr:colOff>
      <xdr:row>32</xdr:row>
      <xdr:rowOff>1366</xdr:rowOff>
    </xdr:from>
    <xdr:to>
      <xdr:col>11</xdr:col>
      <xdr:colOff>865975</xdr:colOff>
      <xdr:row>50</xdr:row>
      <xdr:rowOff>39862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9FE8BB-8F6D-489C-ABC1-28E53CBF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7" r="23390"/>
        <a:stretch/>
      </xdr:blipFill>
      <xdr:spPr>
        <a:xfrm rot="5400000">
          <a:off x="11580840" y="5384550"/>
          <a:ext cx="5628311" cy="5203372"/>
        </a:xfrm>
        <a:prstGeom prst="rect">
          <a:avLst/>
        </a:prstGeom>
      </xdr:spPr>
    </xdr:pic>
    <xdr:clientData/>
  </xdr:twoCellAnchor>
  <xdr:twoCellAnchor>
    <xdr:from>
      <xdr:col>7</xdr:col>
      <xdr:colOff>459105</xdr:colOff>
      <xdr:row>32</xdr:row>
      <xdr:rowOff>34291</xdr:rowOff>
    </xdr:from>
    <xdr:to>
      <xdr:col>10</xdr:col>
      <xdr:colOff>453390</xdr:colOff>
      <xdr:row>34</xdr:row>
      <xdr:rowOff>54610</xdr:rowOff>
    </xdr:to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274F04EA-4A46-403C-A861-4155FECCE990}"/>
            </a:ext>
          </a:extLst>
        </xdr:cNvPr>
        <xdr:cNvSpPr txBox="1"/>
      </xdr:nvSpPr>
      <xdr:spPr>
        <a:xfrm>
          <a:off x="13892076" y="5205005"/>
          <a:ext cx="3292657" cy="314234"/>
        </a:xfrm>
        <a:prstGeom prst="rect">
          <a:avLst/>
        </a:prstGeom>
        <a:noFill/>
        <a:ln w="9525" cmpd="sng"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FFFFFF"/>
              </a:solidFill>
              <a:effectLst>
                <a:outerShdw blurRad="63500" dist="38100" dir="5400000" sx="101000" sy="101000" algn="t">
                  <a:srgbClr val="000000"/>
                </a:outerShdw>
              </a:effectLst>
              <a:ea typeface="DengXian" panose="02010600030101010101" pitchFamily="2" charset="-122"/>
              <a:cs typeface="Times New Roman" panose="02020603050405020304" pitchFamily="18" charset="0"/>
            </a:rPr>
            <a:t>SCHEMATIC OF THE FRDPARRC IN THE NOTEBOOK</a:t>
          </a:r>
          <a:endParaRPr lang="en-US" sz="1800">
            <a:effectLst/>
            <a:latin typeface="Times New Roman" panose="02020603050405020304" pitchFamily="18" charset="0"/>
            <a:ea typeface="DengXian" panose="02010600030101010101" pitchFamily="2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1352548</xdr:colOff>
      <xdr:row>63</xdr:row>
      <xdr:rowOff>66679</xdr:rowOff>
    </xdr:from>
    <xdr:to>
      <xdr:col>9</xdr:col>
      <xdr:colOff>1526125</xdr:colOff>
      <xdr:row>81</xdr:row>
      <xdr:rowOff>161926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FC15C-BBC1-47A2-ADF9-683AA9137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25" r="10526" b="1907"/>
        <a:stretch/>
      </xdr:blipFill>
      <xdr:spPr>
        <a:xfrm rot="5400000">
          <a:off x="7678214" y="10095438"/>
          <a:ext cx="3181346" cy="5088477"/>
        </a:xfrm>
        <a:prstGeom prst="rect">
          <a:avLst/>
        </a:prstGeom>
      </xdr:spPr>
    </xdr:pic>
    <xdr:clientData/>
  </xdr:twoCellAnchor>
  <xdr:twoCellAnchor editAs="oneCell">
    <xdr:from>
      <xdr:col>5</xdr:col>
      <xdr:colOff>1254703</xdr:colOff>
      <xdr:row>82</xdr:row>
      <xdr:rowOff>114304</xdr:rowOff>
    </xdr:from>
    <xdr:to>
      <xdr:col>9</xdr:col>
      <xdr:colOff>1590675</xdr:colOff>
      <xdr:row>100</xdr:row>
      <xdr:rowOff>144380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BAEE83-31C7-4DAA-8433-B1B9E0349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64" r="55504"/>
        <a:stretch/>
      </xdr:blipFill>
      <xdr:spPr>
        <a:xfrm rot="5400000">
          <a:off x="7694151" y="13286831"/>
          <a:ext cx="3116176" cy="5250872"/>
        </a:xfrm>
        <a:prstGeom prst="rect">
          <a:avLst/>
        </a:prstGeom>
      </xdr:spPr>
    </xdr:pic>
    <xdr:clientData/>
  </xdr:twoCellAnchor>
  <xdr:twoCellAnchor editAs="oneCell">
    <xdr:from>
      <xdr:col>0</xdr:col>
      <xdr:colOff>490969</xdr:colOff>
      <xdr:row>63</xdr:row>
      <xdr:rowOff>19052</xdr:rowOff>
    </xdr:from>
    <xdr:to>
      <xdr:col>5</xdr:col>
      <xdr:colOff>784512</xdr:colOff>
      <xdr:row>105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C3DE73-AE16-42B0-8119-5147180CB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7" r="13245"/>
        <a:stretch/>
      </xdr:blipFill>
      <xdr:spPr>
        <a:xfrm rot="5400000">
          <a:off x="-338571" y="11830917"/>
          <a:ext cx="7324723" cy="5665643"/>
        </a:xfrm>
        <a:prstGeom prst="rect">
          <a:avLst/>
        </a:prstGeom>
      </xdr:spPr>
    </xdr:pic>
    <xdr:clientData/>
  </xdr:twoCellAnchor>
  <xdr:twoCellAnchor editAs="oneCell">
    <xdr:from>
      <xdr:col>9</xdr:col>
      <xdr:colOff>2140193</xdr:colOff>
      <xdr:row>63</xdr:row>
      <xdr:rowOff>85728</xdr:rowOff>
    </xdr:from>
    <xdr:to>
      <xdr:col>17</xdr:col>
      <xdr:colOff>152400</xdr:colOff>
      <xdr:row>85</xdr:row>
      <xdr:rowOff>85729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4196976-B913-4FFE-A509-3B0455E800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91" r="12784"/>
        <a:stretch/>
      </xdr:blipFill>
      <xdr:spPr>
        <a:xfrm rot="5400000">
          <a:off x="13152558" y="10342688"/>
          <a:ext cx="3771901" cy="5222632"/>
        </a:xfrm>
        <a:prstGeom prst="rect">
          <a:avLst/>
        </a:prstGeom>
      </xdr:spPr>
    </xdr:pic>
    <xdr:clientData/>
  </xdr:twoCellAnchor>
  <xdr:twoCellAnchor editAs="oneCell">
    <xdr:from>
      <xdr:col>12</xdr:col>
      <xdr:colOff>509916</xdr:colOff>
      <xdr:row>16</xdr:row>
      <xdr:rowOff>95993</xdr:rowOff>
    </xdr:from>
    <xdr:to>
      <xdr:col>18</xdr:col>
      <xdr:colOff>523750</xdr:colOff>
      <xdr:row>46</xdr:row>
      <xdr:rowOff>34143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5FCC57A-EE25-44C6-9E7F-5015D2F5E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0" r="18664"/>
        <a:stretch/>
      </xdr:blipFill>
      <xdr:spPr>
        <a:xfrm rot="5400000">
          <a:off x="13768458" y="3291209"/>
          <a:ext cx="5321136" cy="4525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342065</xdr:colOff>
      <xdr:row>0</xdr:row>
      <xdr:rowOff>171798</xdr:rowOff>
    </xdr:from>
    <xdr:to>
      <xdr:col>16</xdr:col>
      <xdr:colOff>181433</xdr:colOff>
      <xdr:row>9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FA41C6-71B2-43F4-B239-5C815DEEAC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9" t="20249" r="40450" b="21901"/>
        <a:stretch/>
      </xdr:blipFill>
      <xdr:spPr>
        <a:xfrm>
          <a:off x="10983395" y="171798"/>
          <a:ext cx="1759608" cy="1573182"/>
        </a:xfrm>
        <a:prstGeom prst="rect">
          <a:avLst/>
        </a:prstGeom>
      </xdr:spPr>
    </xdr:pic>
    <xdr:clientData/>
  </xdr:twoCellAnchor>
  <xdr:twoCellAnchor editAs="oneCell">
    <xdr:from>
      <xdr:col>10</xdr:col>
      <xdr:colOff>509168</xdr:colOff>
      <xdr:row>10</xdr:row>
      <xdr:rowOff>161316</xdr:rowOff>
    </xdr:from>
    <xdr:to>
      <xdr:col>17</xdr:col>
      <xdr:colOff>316406</xdr:colOff>
      <xdr:row>24</xdr:row>
      <xdr:rowOff>83820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8CF6FF-AEA5-4D4A-BB08-F0A9F98F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258" y="1990116"/>
          <a:ext cx="4287798" cy="2482824"/>
        </a:xfrm>
        <a:prstGeom prst="rect">
          <a:avLst/>
        </a:prstGeom>
      </xdr:spPr>
    </xdr:pic>
    <xdr:clientData/>
  </xdr:twoCellAnchor>
  <xdr:twoCellAnchor editAs="oneCell">
    <xdr:from>
      <xdr:col>5</xdr:col>
      <xdr:colOff>569116</xdr:colOff>
      <xdr:row>17</xdr:row>
      <xdr:rowOff>90134</xdr:rowOff>
    </xdr:from>
    <xdr:to>
      <xdr:col>9</xdr:col>
      <xdr:colOff>1353935</xdr:colOff>
      <xdr:row>30</xdr:row>
      <xdr:rowOff>84927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E713E5-D5A2-4080-8A7E-C96AF9B9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496" y="3199094"/>
          <a:ext cx="4099519" cy="2372233"/>
        </a:xfrm>
        <a:prstGeom prst="rect">
          <a:avLst/>
        </a:prstGeom>
      </xdr:spPr>
    </xdr:pic>
    <xdr:clientData/>
  </xdr:twoCellAnchor>
  <xdr:twoCellAnchor editAs="oneCell">
    <xdr:from>
      <xdr:col>0</xdr:col>
      <xdr:colOff>422180</xdr:colOff>
      <xdr:row>17</xdr:row>
      <xdr:rowOff>67909</xdr:rowOff>
    </xdr:from>
    <xdr:to>
      <xdr:col>5</xdr:col>
      <xdr:colOff>379614</xdr:colOff>
      <xdr:row>30</xdr:row>
      <xdr:rowOff>87343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D19117-910D-4D8B-9975-FADBC096B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80" y="3176869"/>
          <a:ext cx="4140814" cy="23968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400476</xdr:colOff>
      <xdr:row>15</xdr:row>
      <xdr:rowOff>172218</xdr:rowOff>
    </xdr:from>
    <xdr:to>
      <xdr:col>3</xdr:col>
      <xdr:colOff>1734828</xdr:colOff>
      <xdr:row>37</xdr:row>
      <xdr:rowOff>122830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4C6055-AD64-466D-B5B0-C655D2AE4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62" r="21982"/>
        <a:stretch/>
      </xdr:blipFill>
      <xdr:spPr>
        <a:xfrm rot="5400000">
          <a:off x="389374" y="2920081"/>
          <a:ext cx="3964527" cy="3942324"/>
        </a:xfrm>
        <a:prstGeom prst="rect">
          <a:avLst/>
        </a:prstGeom>
      </xdr:spPr>
    </xdr:pic>
    <xdr:clientData/>
  </xdr:twoCellAnchor>
  <xdr:twoCellAnchor>
    <xdr:from>
      <xdr:col>3</xdr:col>
      <xdr:colOff>217479</xdr:colOff>
      <xdr:row>29</xdr:row>
      <xdr:rowOff>127317</xdr:rowOff>
    </xdr:from>
    <xdr:to>
      <xdr:col>3</xdr:col>
      <xdr:colOff>1340664</xdr:colOff>
      <xdr:row>31</xdr:row>
      <xdr:rowOff>84975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82C0487-C200-4EF8-A3E8-BBB5170688E5}"/>
            </a:ext>
          </a:extLst>
        </xdr:cNvPr>
        <xdr:cNvSpPr txBox="1"/>
      </xdr:nvSpPr>
      <xdr:spPr bwMode="auto">
        <a:xfrm>
          <a:off x="2825451" y="5418387"/>
          <a:ext cx="1123185" cy="32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Load Scale</a:t>
          </a:r>
        </a:p>
      </xdr:txBody>
    </xdr:sp>
    <xdr:clientData/>
  </xdr:twoCellAnchor>
  <xdr:twoCellAnchor>
    <xdr:from>
      <xdr:col>0</xdr:col>
      <xdr:colOff>622091</xdr:colOff>
      <xdr:row>26</xdr:row>
      <xdr:rowOff>43604</xdr:rowOff>
    </xdr:from>
    <xdr:to>
      <xdr:col>2</xdr:col>
      <xdr:colOff>693501</xdr:colOff>
      <xdr:row>28</xdr:row>
      <xdr:rowOff>1262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FD28433-3E0D-4BBB-8D28-846AC6A83BDD}"/>
            </a:ext>
          </a:extLst>
        </xdr:cNvPr>
        <xdr:cNvSpPr txBox="1"/>
      </xdr:nvSpPr>
      <xdr:spPr bwMode="auto">
        <a:xfrm>
          <a:off x="622091" y="4787322"/>
          <a:ext cx="1123185" cy="32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Handle</a:t>
          </a:r>
        </a:p>
      </xdr:txBody>
    </xdr:sp>
    <xdr:clientData/>
  </xdr:twoCellAnchor>
  <xdr:twoCellAnchor>
    <xdr:from>
      <xdr:col>6</xdr:col>
      <xdr:colOff>364902</xdr:colOff>
      <xdr:row>8</xdr:row>
      <xdr:rowOff>155083</xdr:rowOff>
    </xdr:from>
    <xdr:to>
      <xdr:col>10</xdr:col>
      <xdr:colOff>246845</xdr:colOff>
      <xdr:row>23</xdr:row>
      <xdr:rowOff>161523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2862E7B-0CCD-47D7-AFBA-7D0D882B0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574183</xdr:colOff>
      <xdr:row>0</xdr:row>
      <xdr:rowOff>42933</xdr:rowOff>
    </xdr:from>
    <xdr:to>
      <xdr:col>17</xdr:col>
      <xdr:colOff>21466</xdr:colOff>
      <xdr:row>32</xdr:row>
      <xdr:rowOff>20586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8BE5D52-55B0-4A54-88A2-4D5552AC7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85"/>
        <a:stretch/>
      </xdr:blipFill>
      <xdr:spPr>
        <a:xfrm rot="5400000">
          <a:off x="10126456" y="992308"/>
          <a:ext cx="5816076" cy="3917325"/>
        </a:xfrm>
        <a:prstGeom prst="rect">
          <a:avLst/>
        </a:prstGeom>
      </xdr:spPr>
    </xdr:pic>
    <xdr:clientData/>
  </xdr:twoCellAnchor>
  <xdr:twoCellAnchor>
    <xdr:from>
      <xdr:col>11</xdr:col>
      <xdr:colOff>160598</xdr:colOff>
      <xdr:row>2</xdr:row>
      <xdr:rowOff>38238</xdr:rowOff>
    </xdr:from>
    <xdr:to>
      <xdr:col>13</xdr:col>
      <xdr:colOff>6628</xdr:colOff>
      <xdr:row>3</xdr:row>
      <xdr:rowOff>178347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F8422DD-CCEE-47BD-AABB-702064F48894}"/>
            </a:ext>
          </a:extLst>
        </xdr:cNvPr>
        <xdr:cNvSpPr txBox="1"/>
      </xdr:nvSpPr>
      <xdr:spPr bwMode="auto">
        <a:xfrm>
          <a:off x="11300823" y="403139"/>
          <a:ext cx="1123185" cy="32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Digital Load Scale</a:t>
          </a:r>
        </a:p>
      </xdr:txBody>
    </xdr:sp>
    <xdr:clientData/>
  </xdr:twoCellAnchor>
  <xdr:twoCellAnchor>
    <xdr:from>
      <xdr:col>15</xdr:col>
      <xdr:colOff>205675</xdr:colOff>
      <xdr:row>9</xdr:row>
      <xdr:rowOff>88681</xdr:rowOff>
    </xdr:from>
    <xdr:to>
      <xdr:col>17</xdr:col>
      <xdr:colOff>51705</xdr:colOff>
      <xdr:row>11</xdr:row>
      <xdr:rowOff>46339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E78ADBC-55CB-4AFB-A7ED-304FB0F5184E}"/>
            </a:ext>
          </a:extLst>
        </xdr:cNvPr>
        <xdr:cNvSpPr txBox="1"/>
      </xdr:nvSpPr>
      <xdr:spPr bwMode="auto">
        <a:xfrm>
          <a:off x="13900210" y="1730737"/>
          <a:ext cx="1123185" cy="32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Dial Indicator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80683</xdr:colOff>
      <xdr:row>9</xdr:row>
      <xdr:rowOff>52386</xdr:rowOff>
    </xdr:from>
    <xdr:to>
      <xdr:col>3</xdr:col>
      <xdr:colOff>2433918</xdr:colOff>
      <xdr:row>26</xdr:row>
      <xdr:rowOff>77319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254847-240B-4775-B51B-A6E3EF4B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659" y="1706374"/>
          <a:ext cx="5598459" cy="3149133"/>
        </a:xfrm>
        <a:prstGeom prst="rect">
          <a:avLst/>
        </a:prstGeom>
      </xdr:spPr>
    </xdr:pic>
    <xdr:clientData/>
  </xdr:twoCellAnchor>
  <xdr:twoCellAnchor>
    <xdr:from>
      <xdr:col>2</xdr:col>
      <xdr:colOff>1420907</xdr:colOff>
      <xdr:row>12</xdr:row>
      <xdr:rowOff>164444</xdr:rowOff>
    </xdr:from>
    <xdr:to>
      <xdr:col>3</xdr:col>
      <xdr:colOff>397045</xdr:colOff>
      <xdr:row>14</xdr:row>
      <xdr:rowOff>119451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D7D6B2F-5796-4F59-AA05-BFCE312E860E}"/>
            </a:ext>
          </a:extLst>
        </xdr:cNvPr>
        <xdr:cNvSpPr txBox="1"/>
      </xdr:nvSpPr>
      <xdr:spPr bwMode="auto">
        <a:xfrm>
          <a:off x="3160060" y="2369762"/>
          <a:ext cx="1123185" cy="32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Dial Indicator</a:t>
          </a:r>
        </a:p>
      </xdr:txBody>
    </xdr:sp>
    <xdr:clientData/>
  </xdr:twoCellAnchor>
  <xdr:twoCellAnchor editAs="oneCell">
    <xdr:from>
      <xdr:col>5</xdr:col>
      <xdr:colOff>58270</xdr:colOff>
      <xdr:row>9</xdr:row>
      <xdr:rowOff>83203</xdr:rowOff>
    </xdr:from>
    <xdr:to>
      <xdr:col>8</xdr:col>
      <xdr:colOff>125007</xdr:colOff>
      <xdr:row>26</xdr:row>
      <xdr:rowOff>165847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2265C7-D06F-413D-B1D3-E9220AE0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7870" y="1737191"/>
          <a:ext cx="5701055" cy="3206844"/>
        </a:xfrm>
        <a:prstGeom prst="rect">
          <a:avLst/>
        </a:prstGeom>
      </xdr:spPr>
    </xdr:pic>
    <xdr:clientData/>
  </xdr:twoCellAnchor>
  <xdr:twoCellAnchor>
    <xdr:from>
      <xdr:col>7</xdr:col>
      <xdr:colOff>739590</xdr:colOff>
      <xdr:row>13</xdr:row>
      <xdr:rowOff>52385</xdr:rowOff>
    </xdr:from>
    <xdr:to>
      <xdr:col>7</xdr:col>
      <xdr:colOff>1862775</xdr:colOff>
      <xdr:row>15</xdr:row>
      <xdr:rowOff>7392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5324231-E152-4BDE-9691-3164432CCC88}"/>
            </a:ext>
          </a:extLst>
        </xdr:cNvPr>
        <xdr:cNvSpPr txBox="1"/>
      </xdr:nvSpPr>
      <xdr:spPr bwMode="auto">
        <a:xfrm>
          <a:off x="12097872" y="2441479"/>
          <a:ext cx="1123185" cy="32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  <a:effectLst>
                <a:outerShdw blurRad="50800" dist="50800" dir="5400000" sx="97000" sy="97000" algn="ctr" rotWithShape="0">
                  <a:srgbClr val="000000"/>
                </a:outerShdw>
              </a:effectLst>
            </a:rPr>
            <a:t>Dial Indicator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topLeftCell="A7" zoomScale="85" zoomScaleNormal="85" workbookViewId="0">
      <selection activeCell="L25" sqref="L25"/>
    </sheetView>
  </sheetViews>
  <sheetFormatPr defaultColWidth="8.89453125" defaultRowHeight="11.4"/>
  <cols>
    <col min="1" max="1" width="8.89453125" style="5"/>
    <col min="2" max="2" width="5.20703125" style="5" customWidth="1"/>
    <col min="3" max="3" width="38" style="5" customWidth="1"/>
    <col min="4" max="4" width="34.26171875" style="5" customWidth="1"/>
    <col min="5" max="5" width="15.83984375" style="5" customWidth="1"/>
    <col min="6" max="6" width="15.68359375" style="5" customWidth="1"/>
    <col min="7" max="7" width="9.5234375" style="5" customWidth="1"/>
    <col min="8" max="8" width="9.9453125" style="5" customWidth="1"/>
    <col min="9" max="9" width="26.83984375" style="5" customWidth="1"/>
    <col min="10" max="11" width="8.89453125" style="5"/>
    <col min="12" max="12" width="27.7890625" style="5" bestFit="1" customWidth="1"/>
    <col min="13" max="13" width="10.734375" style="5" customWidth="1"/>
    <col min="14" max="14" width="8.89453125" style="5"/>
    <col min="15" max="15" width="9.41796875" style="5" customWidth="1"/>
    <col min="16" max="16384" width="8.89453125" style="5"/>
  </cols>
  <sheetData>
    <row r="1" spans="1:8" ht="19.8">
      <c r="C1" s="106" t="s">
        <v>38</v>
      </c>
      <c r="D1" s="106"/>
      <c r="E1" s="106"/>
      <c r="F1" s="106"/>
      <c r="G1" s="106"/>
      <c r="H1" s="106"/>
    </row>
    <row r="2" spans="1:8" ht="14.4" customHeight="1">
      <c r="B2" s="13"/>
      <c r="C2" s="107" t="s">
        <v>39</v>
      </c>
      <c r="D2" s="107"/>
      <c r="E2" s="107"/>
      <c r="F2" s="107"/>
      <c r="G2" s="107"/>
      <c r="H2" s="107"/>
    </row>
    <row r="3" spans="1:8" ht="12.6">
      <c r="A3" s="12"/>
      <c r="B3" s="12"/>
      <c r="C3" s="12"/>
      <c r="D3" s="12"/>
      <c r="E3" s="12"/>
      <c r="F3" s="12"/>
      <c r="G3" s="12"/>
      <c r="H3" s="12"/>
    </row>
    <row r="4" spans="1:8" ht="15.3">
      <c r="B4" s="14"/>
      <c r="C4" s="108" t="s">
        <v>40</v>
      </c>
      <c r="D4" s="108"/>
      <c r="E4" s="108"/>
      <c r="F4" s="108"/>
      <c r="G4" s="108"/>
      <c r="H4" s="108"/>
    </row>
    <row r="5" spans="1:8" ht="12.6">
      <c r="B5" s="14"/>
      <c r="D5" s="15"/>
      <c r="E5" s="18"/>
      <c r="F5" s="18"/>
      <c r="G5" s="15"/>
      <c r="H5" s="18"/>
    </row>
    <row r="6" spans="1:8" ht="12.6">
      <c r="B6" s="14"/>
      <c r="C6" s="20" t="s">
        <v>18</v>
      </c>
      <c r="D6" s="18"/>
      <c r="E6" s="18"/>
      <c r="F6" s="18"/>
      <c r="G6" s="18"/>
      <c r="H6" s="18"/>
    </row>
    <row r="7" spans="1:8" ht="12.6">
      <c r="B7" s="14"/>
      <c r="C7" s="19" t="s">
        <v>181</v>
      </c>
      <c r="D7" s="19" t="s">
        <v>167</v>
      </c>
      <c r="E7" s="19"/>
      <c r="F7" s="19"/>
      <c r="G7" s="18"/>
      <c r="H7" s="18"/>
    </row>
    <row r="8" spans="1:8" ht="12.6">
      <c r="B8" s="14"/>
      <c r="C8" s="19" t="s">
        <v>41</v>
      </c>
      <c r="D8" s="19" t="s">
        <v>42</v>
      </c>
      <c r="E8" s="19"/>
      <c r="F8" s="19"/>
      <c r="G8" s="18"/>
      <c r="H8" s="18"/>
    </row>
    <row r="9" spans="1:8" ht="12.6">
      <c r="B9" s="14"/>
      <c r="C9" s="19" t="s">
        <v>43</v>
      </c>
      <c r="D9" s="19" t="s">
        <v>44</v>
      </c>
      <c r="E9" s="19"/>
      <c r="F9" s="19"/>
      <c r="G9" s="18"/>
      <c r="H9" s="18"/>
    </row>
    <row r="10" spans="1:8" ht="12.6">
      <c r="B10" s="14"/>
      <c r="D10" s="19"/>
      <c r="E10" s="19"/>
      <c r="F10" s="19"/>
      <c r="G10" s="18"/>
      <c r="H10" s="18"/>
    </row>
    <row r="11" spans="1:8" ht="12.6">
      <c r="B11" s="14"/>
      <c r="D11" s="19"/>
      <c r="E11" s="19"/>
      <c r="F11" s="19"/>
      <c r="G11" s="18"/>
      <c r="H11" s="18"/>
    </row>
    <row r="12" spans="1:8" ht="12.9">
      <c r="B12" s="14"/>
      <c r="D12" s="72" t="s">
        <v>165</v>
      </c>
      <c r="E12" s="15"/>
      <c r="F12" s="18"/>
    </row>
    <row r="13" spans="1:8">
      <c r="B13" s="6"/>
      <c r="C13" s="7"/>
      <c r="D13" s="32" t="s">
        <v>6</v>
      </c>
      <c r="E13" s="24" t="s">
        <v>3</v>
      </c>
      <c r="F13" s="24" t="s">
        <v>33</v>
      </c>
    </row>
    <row r="14" spans="1:8">
      <c r="B14" s="8"/>
      <c r="C14" s="58"/>
      <c r="D14" s="102" t="s">
        <v>201</v>
      </c>
      <c r="E14" s="25"/>
      <c r="F14" s="25"/>
    </row>
    <row r="15" spans="1:8" ht="12.6" customHeight="1">
      <c r="B15" s="103" t="s">
        <v>4</v>
      </c>
      <c r="C15" s="74" t="s">
        <v>45</v>
      </c>
      <c r="D15" s="77" t="s">
        <v>130</v>
      </c>
      <c r="E15" s="24"/>
      <c r="F15" s="24"/>
    </row>
    <row r="16" spans="1:8" ht="14.4" customHeight="1">
      <c r="B16" s="104"/>
      <c r="C16" s="75" t="s">
        <v>49</v>
      </c>
      <c r="D16" s="78">
        <v>15</v>
      </c>
      <c r="E16" s="54"/>
      <c r="F16" s="54"/>
    </row>
    <row r="17" spans="2:6" ht="11.4" customHeight="1">
      <c r="B17" s="104"/>
      <c r="C17" s="75" t="s">
        <v>50</v>
      </c>
      <c r="D17" s="78">
        <v>2</v>
      </c>
      <c r="E17" s="54"/>
      <c r="F17" s="54"/>
    </row>
    <row r="18" spans="2:6">
      <c r="B18" s="104"/>
      <c r="C18" s="75" t="s">
        <v>51</v>
      </c>
      <c r="D18" s="78">
        <v>8</v>
      </c>
      <c r="E18" s="54"/>
      <c r="F18" s="54"/>
    </row>
    <row r="19" spans="2:6" ht="12.9" customHeight="1">
      <c r="B19" s="104"/>
      <c r="C19" s="75" t="s">
        <v>52</v>
      </c>
      <c r="D19" s="78">
        <v>6</v>
      </c>
      <c r="E19" s="54"/>
      <c r="F19" s="54"/>
    </row>
    <row r="20" spans="2:6">
      <c r="B20" s="105"/>
      <c r="C20" s="76" t="s">
        <v>47</v>
      </c>
      <c r="D20" s="79" t="s">
        <v>53</v>
      </c>
      <c r="E20" s="25"/>
      <c r="F20" s="25"/>
    </row>
    <row r="21" spans="2:6" ht="14.4" customHeight="1">
      <c r="B21" s="103" t="s">
        <v>5</v>
      </c>
      <c r="C21" s="33" t="s">
        <v>131</v>
      </c>
      <c r="D21" s="85">
        <f>'A- ANALYSIS'!C26+'A- ANALYSIS'!G26</f>
        <v>272.99509731385029</v>
      </c>
      <c r="E21" s="28" t="s">
        <v>164</v>
      </c>
      <c r="F21" s="28" t="s">
        <v>156</v>
      </c>
    </row>
    <row r="22" spans="2:6" ht="14.4" customHeight="1">
      <c r="B22" s="104"/>
      <c r="C22" s="33" t="s">
        <v>157</v>
      </c>
      <c r="D22" s="85">
        <v>145</v>
      </c>
      <c r="E22" s="28" t="s">
        <v>202</v>
      </c>
      <c r="F22" s="91">
        <f>'B- DRIVING TORQUE AND STIFFNESS'!D11</f>
        <v>128.26666666666668</v>
      </c>
    </row>
    <row r="23" spans="2:6" ht="12.6" customHeight="1">
      <c r="B23" s="104"/>
      <c r="C23" s="33" t="s">
        <v>132</v>
      </c>
      <c r="D23" s="120">
        <f>'A- ANALYSIS'!G31</f>
        <v>5.589304229447893</v>
      </c>
      <c r="E23" s="28" t="s">
        <v>168</v>
      </c>
      <c r="F23" s="122">
        <f>'B- DRIVING TORQUE AND STIFFNESS'!J26</f>
        <v>2.630061</v>
      </c>
    </row>
    <row r="24" spans="2:6">
      <c r="B24" s="104"/>
      <c r="C24" s="10" t="s">
        <v>133</v>
      </c>
      <c r="D24" s="86">
        <f>'A- ANALYSIS'!C42</f>
        <v>11.111111111111111</v>
      </c>
      <c r="E24" s="28" t="s">
        <v>159</v>
      </c>
      <c r="F24" s="71" t="s">
        <v>156</v>
      </c>
    </row>
    <row r="25" spans="2:6" ht="12.6" customHeight="1">
      <c r="B25" s="104"/>
      <c r="C25" s="5" t="s">
        <v>137</v>
      </c>
      <c r="D25" s="87" t="s">
        <v>147</v>
      </c>
      <c r="E25" s="28" t="s">
        <v>147</v>
      </c>
      <c r="F25" s="89" t="s">
        <v>147</v>
      </c>
    </row>
    <row r="26" spans="2:6">
      <c r="B26" s="104"/>
      <c r="D26" s="37"/>
      <c r="E26" s="28"/>
      <c r="F26" s="28"/>
    </row>
    <row r="27" spans="2:6">
      <c r="B27" s="104"/>
      <c r="C27" s="10" t="s">
        <v>134</v>
      </c>
      <c r="D27" s="86">
        <f>'A- ANALYSIS'!G8/'A- ANALYSIS'!K33</f>
        <v>19.393771794643413</v>
      </c>
      <c r="E27" s="28" t="s">
        <v>162</v>
      </c>
      <c r="F27" s="71" t="s">
        <v>156</v>
      </c>
    </row>
    <row r="28" spans="2:6">
      <c r="B28" s="104"/>
      <c r="C28" s="17" t="s">
        <v>135</v>
      </c>
      <c r="D28" s="86">
        <f>'A- ANALYSIS'!K35*1000/'A- ANALYSIS'!C25</f>
        <v>8.6620325645648784</v>
      </c>
      <c r="E28" s="28" t="s">
        <v>162</v>
      </c>
      <c r="F28" s="71" t="s">
        <v>156</v>
      </c>
    </row>
    <row r="29" spans="2:6">
      <c r="B29" s="104"/>
      <c r="C29" s="17" t="s">
        <v>136</v>
      </c>
      <c r="D29" s="88">
        <f>FRDPARRC!D27/2</f>
        <v>9.6968858973217067</v>
      </c>
      <c r="E29" s="28" t="s">
        <v>162</v>
      </c>
      <c r="F29" s="28" t="s">
        <v>156</v>
      </c>
    </row>
    <row r="30" spans="2:6" ht="12.6" customHeight="1">
      <c r="B30" s="104"/>
      <c r="C30" s="34"/>
      <c r="D30" s="36"/>
      <c r="E30" s="28"/>
      <c r="F30" s="28"/>
    </row>
    <row r="31" spans="2:6">
      <c r="B31" s="104"/>
      <c r="C31" s="34" t="s">
        <v>140</v>
      </c>
      <c r="D31" s="88">
        <f>'A- ANALYSIS'!K57</f>
        <v>0.97293036482165385</v>
      </c>
      <c r="E31" s="28" t="s">
        <v>161</v>
      </c>
      <c r="F31" s="89" t="s">
        <v>177</v>
      </c>
    </row>
    <row r="32" spans="2:6">
      <c r="B32" s="104"/>
      <c r="C32" s="34" t="s">
        <v>141</v>
      </c>
      <c r="D32" s="88">
        <f>'A- ANALYSIS'!K58</f>
        <v>2.2920893652601437</v>
      </c>
      <c r="E32" s="28" t="s">
        <v>161</v>
      </c>
      <c r="F32" s="89" t="s">
        <v>177</v>
      </c>
    </row>
    <row r="33" spans="2:12">
      <c r="B33" s="104"/>
      <c r="C33" s="34" t="s">
        <v>142</v>
      </c>
      <c r="D33" s="86">
        <f>'A- ANALYSIS'!C25/'A- ANALYSIS'!G31</f>
        <v>47.314986586450061</v>
      </c>
      <c r="E33" s="28" t="s">
        <v>163</v>
      </c>
      <c r="F33" s="28" t="s">
        <v>156</v>
      </c>
    </row>
    <row r="34" spans="2:12">
      <c r="B34" s="104"/>
      <c r="C34" s="34" t="s">
        <v>139</v>
      </c>
      <c r="D34" s="38" t="s">
        <v>156</v>
      </c>
      <c r="E34" s="28" t="s">
        <v>160</v>
      </c>
      <c r="F34" s="89" t="s">
        <v>158</v>
      </c>
    </row>
    <row r="35" spans="2:12">
      <c r="B35" s="104"/>
      <c r="C35" s="10"/>
      <c r="D35" s="38"/>
      <c r="E35" s="28"/>
      <c r="F35" s="28"/>
    </row>
    <row r="36" spans="2:12">
      <c r="B36" s="104"/>
      <c r="C36" s="10" t="s">
        <v>144</v>
      </c>
      <c r="D36" s="89" t="s">
        <v>145</v>
      </c>
      <c r="E36" s="28" t="s">
        <v>145</v>
      </c>
      <c r="F36" s="28" t="s">
        <v>156</v>
      </c>
    </row>
    <row r="37" spans="2:12" ht="11.4" customHeight="1">
      <c r="B37" s="105"/>
      <c r="C37" s="5" t="s">
        <v>32</v>
      </c>
      <c r="D37" s="90">
        <v>140</v>
      </c>
      <c r="E37" s="39" t="s">
        <v>182</v>
      </c>
      <c r="F37" s="91">
        <v>140</v>
      </c>
    </row>
    <row r="38" spans="2:12" ht="70.5" customHeight="1">
      <c r="B38" s="62" t="s">
        <v>16</v>
      </c>
      <c r="C38" s="80"/>
      <c r="D38" s="119" t="s">
        <v>143</v>
      </c>
      <c r="E38" s="81"/>
      <c r="F38" s="82"/>
      <c r="G38" s="11"/>
    </row>
    <row r="39" spans="2:12" ht="75.599999999999994" customHeight="1">
      <c r="B39" s="31" t="s">
        <v>11</v>
      </c>
      <c r="C39" s="80"/>
      <c r="D39" s="83" t="s">
        <v>169</v>
      </c>
      <c r="E39" s="81"/>
      <c r="F39" s="82"/>
    </row>
    <row r="40" spans="2:12" ht="66.900000000000006" customHeight="1">
      <c r="B40" s="9" t="s">
        <v>12</v>
      </c>
      <c r="C40" s="34"/>
      <c r="D40" s="73" t="s">
        <v>170</v>
      </c>
      <c r="E40" s="35"/>
      <c r="F40" s="39"/>
    </row>
    <row r="41" spans="2:12" ht="65.099999999999994" customHeight="1">
      <c r="B41" s="29" t="s">
        <v>15</v>
      </c>
      <c r="C41" s="80"/>
      <c r="D41" s="84" t="s">
        <v>171</v>
      </c>
      <c r="E41" s="81"/>
      <c r="F41" s="81"/>
    </row>
    <row r="42" spans="2:12" ht="11.7" customHeight="1">
      <c r="C42" s="34"/>
      <c r="D42" s="37"/>
      <c r="E42" s="28"/>
      <c r="F42" s="39"/>
    </row>
    <row r="44" spans="2:12">
      <c r="D44" s="30"/>
      <c r="E44" s="30"/>
      <c r="F44" s="30"/>
    </row>
    <row r="46" spans="2:12">
      <c r="I46" s="33"/>
      <c r="J46" s="33"/>
      <c r="K46" s="33"/>
      <c r="L46" s="33"/>
    </row>
    <row r="47" spans="2:12">
      <c r="I47" s="33"/>
      <c r="J47" s="33"/>
      <c r="K47" s="33"/>
      <c r="L47" s="33"/>
    </row>
    <row r="48" spans="2:12">
      <c r="I48" s="33"/>
      <c r="J48" s="33"/>
      <c r="K48" s="33"/>
      <c r="L48" s="33"/>
    </row>
    <row r="49" spans="9:12">
      <c r="I49" s="41"/>
      <c r="J49" s="33"/>
      <c r="K49" s="33"/>
      <c r="L49" s="33"/>
    </row>
    <row r="50" spans="9:12">
      <c r="I50" s="33"/>
      <c r="J50" s="33"/>
      <c r="K50" s="33"/>
      <c r="L50" s="33"/>
    </row>
    <row r="51" spans="9:12">
      <c r="I51" s="33"/>
      <c r="J51" s="33"/>
      <c r="K51" s="33"/>
      <c r="L51" s="33"/>
    </row>
    <row r="52" spans="9:12">
      <c r="I52" s="33"/>
      <c r="J52" s="33"/>
      <c r="K52" s="33"/>
      <c r="L52" s="33"/>
    </row>
    <row r="53" spans="9:12">
      <c r="I53" s="33"/>
      <c r="J53" s="33"/>
      <c r="K53" s="33"/>
      <c r="L53" s="33"/>
    </row>
    <row r="54" spans="9:12">
      <c r="I54" s="33"/>
      <c r="J54" s="33"/>
      <c r="K54" s="33"/>
      <c r="L54" s="33"/>
    </row>
    <row r="55" spans="9:12">
      <c r="I55" s="33"/>
      <c r="J55" s="33"/>
      <c r="K55" s="33"/>
      <c r="L55" s="33"/>
    </row>
    <row r="56" spans="9:12">
      <c r="I56" s="33"/>
      <c r="J56" s="33"/>
      <c r="K56" s="33"/>
      <c r="L56" s="33"/>
    </row>
    <row r="57" spans="9:12">
      <c r="I57" s="33"/>
      <c r="J57" s="33"/>
      <c r="K57" s="33"/>
      <c r="L57" s="33"/>
    </row>
    <row r="58" spans="9:12">
      <c r="I58" s="33"/>
      <c r="J58" s="33"/>
      <c r="K58" s="33"/>
      <c r="L58" s="33"/>
    </row>
    <row r="59" spans="9:12">
      <c r="I59" s="33"/>
      <c r="J59" s="33"/>
      <c r="K59" s="33"/>
      <c r="L59" s="33"/>
    </row>
    <row r="60" spans="9:12">
      <c r="I60" s="33"/>
      <c r="J60" s="33"/>
      <c r="K60" s="33"/>
      <c r="L60" s="33"/>
    </row>
    <row r="61" spans="9:12">
      <c r="I61" s="33"/>
      <c r="J61" s="33"/>
      <c r="K61" s="33"/>
      <c r="L61" s="33"/>
    </row>
    <row r="62" spans="9:12">
      <c r="I62" s="33"/>
      <c r="J62" s="33"/>
      <c r="K62" s="33"/>
      <c r="L62" s="33"/>
    </row>
    <row r="74" spans="11:16">
      <c r="K74" s="33"/>
      <c r="L74" s="33"/>
      <c r="M74" s="33"/>
      <c r="N74" s="33"/>
      <c r="O74" s="33"/>
      <c r="P74" s="33"/>
    </row>
    <row r="75" spans="11:16">
      <c r="K75" s="33"/>
      <c r="L75" s="33"/>
      <c r="M75" s="33"/>
      <c r="N75" s="33"/>
      <c r="O75" s="33"/>
      <c r="P75" s="33"/>
    </row>
    <row r="76" spans="11:16">
      <c r="K76" s="33"/>
      <c r="L76" s="33"/>
      <c r="M76" s="33"/>
      <c r="N76" s="33"/>
      <c r="O76" s="33"/>
      <c r="P76" s="33"/>
    </row>
    <row r="77" spans="11:16">
      <c r="K77" s="33"/>
      <c r="L77" s="33"/>
      <c r="M77" s="33"/>
      <c r="N77" s="33"/>
      <c r="O77" s="33"/>
      <c r="P77" s="33"/>
    </row>
    <row r="78" spans="11:16">
      <c r="K78" s="33"/>
      <c r="L78" s="33"/>
      <c r="M78" s="33"/>
      <c r="N78" s="33"/>
      <c r="O78" s="33"/>
      <c r="P78" s="33"/>
    </row>
    <row r="79" spans="11:16">
      <c r="K79" s="33"/>
      <c r="L79" s="41"/>
      <c r="M79" s="33"/>
      <c r="N79" s="33"/>
      <c r="O79" s="33"/>
      <c r="P79" s="33"/>
    </row>
    <row r="80" spans="11:16">
      <c r="K80" s="33"/>
      <c r="L80" s="33"/>
      <c r="M80" s="33"/>
      <c r="N80" s="33"/>
      <c r="O80" s="33"/>
      <c r="P80" s="33"/>
    </row>
    <row r="81" spans="11:16">
      <c r="K81" s="33"/>
      <c r="L81" s="33"/>
      <c r="M81" s="33"/>
      <c r="N81" s="33"/>
      <c r="O81" s="33"/>
      <c r="P81" s="33"/>
    </row>
    <row r="82" spans="11:16">
      <c r="K82" s="33"/>
      <c r="L82" s="33"/>
      <c r="M82" s="33"/>
      <c r="N82" s="33"/>
      <c r="O82" s="33"/>
      <c r="P82" s="33"/>
    </row>
    <row r="83" spans="11:16">
      <c r="K83" s="33"/>
      <c r="L83" s="33"/>
      <c r="M83" s="33"/>
      <c r="N83" s="33"/>
      <c r="O83" s="33"/>
      <c r="P83" s="33"/>
    </row>
    <row r="84" spans="11:16">
      <c r="K84" s="33"/>
      <c r="L84" s="41"/>
      <c r="M84" s="33"/>
      <c r="N84" s="33"/>
      <c r="O84" s="33"/>
      <c r="P84" s="33"/>
    </row>
    <row r="85" spans="11:16">
      <c r="K85" s="33"/>
      <c r="L85" s="33"/>
      <c r="M85" s="33"/>
      <c r="N85" s="33"/>
      <c r="O85" s="33"/>
      <c r="P85" s="33"/>
    </row>
    <row r="86" spans="11:16">
      <c r="K86" s="33"/>
      <c r="L86" s="33"/>
      <c r="M86" s="33"/>
      <c r="N86" s="33"/>
      <c r="O86" s="33"/>
      <c r="P86" s="33"/>
    </row>
    <row r="87" spans="11:16">
      <c r="K87" s="33"/>
      <c r="L87" s="33"/>
      <c r="M87" s="33"/>
      <c r="N87" s="33"/>
      <c r="O87" s="33"/>
      <c r="P87" s="33"/>
    </row>
    <row r="88" spans="11:16">
      <c r="K88" s="33"/>
      <c r="L88" s="33"/>
      <c r="M88" s="33"/>
      <c r="N88" s="33"/>
      <c r="O88" s="33"/>
      <c r="P88" s="33"/>
    </row>
    <row r="89" spans="11:16">
      <c r="K89" s="33"/>
      <c r="L89" s="41"/>
      <c r="M89" s="41"/>
      <c r="N89" s="33"/>
      <c r="O89" s="33"/>
      <c r="P89" s="33"/>
    </row>
    <row r="90" spans="11:16">
      <c r="K90" s="33"/>
      <c r="L90" s="33"/>
      <c r="M90" s="40"/>
      <c r="N90" s="33"/>
      <c r="O90" s="33"/>
      <c r="P90" s="33"/>
    </row>
    <row r="91" spans="11:16">
      <c r="K91" s="33"/>
      <c r="L91" s="33"/>
      <c r="M91" s="40"/>
      <c r="N91" s="33"/>
      <c r="O91" s="33"/>
      <c r="P91" s="33"/>
    </row>
    <row r="92" spans="11:16">
      <c r="K92" s="33"/>
      <c r="L92" s="10"/>
      <c r="M92" s="40"/>
      <c r="N92" s="33"/>
      <c r="O92" s="33"/>
      <c r="P92" s="33"/>
    </row>
    <row r="93" spans="11:16">
      <c r="K93" s="33"/>
      <c r="L93" s="33"/>
      <c r="M93" s="40"/>
      <c r="N93" s="33"/>
      <c r="O93" s="33"/>
      <c r="P93" s="33"/>
    </row>
    <row r="94" spans="11:16">
      <c r="K94" s="33"/>
      <c r="L94" s="10"/>
      <c r="M94" s="40"/>
      <c r="N94" s="33"/>
      <c r="O94" s="33"/>
      <c r="P94" s="33"/>
    </row>
    <row r="95" spans="11:16">
      <c r="K95" s="33"/>
      <c r="L95" s="17"/>
      <c r="M95" s="40"/>
      <c r="N95" s="33"/>
      <c r="O95" s="33"/>
      <c r="P95" s="33"/>
    </row>
    <row r="96" spans="11:16">
      <c r="K96" s="33"/>
      <c r="L96" s="17"/>
      <c r="M96" s="40"/>
      <c r="N96" s="33"/>
      <c r="O96" s="33"/>
      <c r="P96" s="33"/>
    </row>
    <row r="97" spans="11:16">
      <c r="K97" s="33"/>
      <c r="L97" s="33"/>
      <c r="M97" s="33"/>
      <c r="N97" s="33"/>
      <c r="O97" s="33"/>
      <c r="P97" s="33"/>
    </row>
    <row r="98" spans="11:16">
      <c r="K98" s="33"/>
      <c r="L98" s="33"/>
      <c r="M98" s="33"/>
      <c r="N98" s="33"/>
      <c r="O98" s="33"/>
      <c r="P98" s="33"/>
    </row>
    <row r="99" spans="11:16">
      <c r="K99" s="33"/>
      <c r="L99" s="33"/>
      <c r="M99" s="33"/>
      <c r="N99" s="33"/>
      <c r="O99" s="33"/>
      <c r="P99" s="33"/>
    </row>
    <row r="100" spans="11:16">
      <c r="K100" s="33"/>
      <c r="L100" s="33"/>
      <c r="M100" s="33"/>
      <c r="N100" s="33"/>
      <c r="O100" s="33"/>
      <c r="P100" s="33"/>
    </row>
  </sheetData>
  <mergeCells count="5">
    <mergeCell ref="B15:B20"/>
    <mergeCell ref="C1:H1"/>
    <mergeCell ref="C2:H2"/>
    <mergeCell ref="C4:H4"/>
    <mergeCell ref="B21:B37"/>
  </mergeCells>
  <pageMargins left="0.7" right="0.7" top="0.75" bottom="0.75" header="0.3" footer="0.3"/>
  <pageSetup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5FFE3-3F4A-4827-8BF1-D9B515AF9D54}">
  <dimension ref="A1:Q63"/>
  <sheetViews>
    <sheetView topLeftCell="A8" zoomScale="70" zoomScaleNormal="70" workbookViewId="0">
      <selection activeCell="C23" sqref="C23"/>
    </sheetView>
  </sheetViews>
  <sheetFormatPr defaultRowHeight="13.8"/>
  <cols>
    <col min="1" max="1" width="8.83984375" style="59"/>
    <col min="2" max="2" width="43.26171875" style="59" bestFit="1" customWidth="1"/>
    <col min="3" max="4" width="8.83984375" style="59"/>
    <col min="5" max="5" width="4.5234375" style="59" customWidth="1"/>
    <col min="6" max="6" width="34.3125" style="59" bestFit="1" customWidth="1"/>
    <col min="7" max="7" width="15.41796875" style="59" customWidth="1"/>
    <col min="8" max="8" width="12.734375" style="59" customWidth="1"/>
    <col min="9" max="9" width="5.41796875" style="59" customWidth="1"/>
    <col min="10" max="10" width="32.3125" style="59" bestFit="1" customWidth="1"/>
    <col min="11" max="11" width="8.83984375" style="59"/>
    <col min="12" max="12" width="5.26171875" style="59" customWidth="1"/>
    <col min="13" max="13" width="17.9453125" style="59" bestFit="1" customWidth="1"/>
    <col min="14" max="16384" width="8.83984375" style="59"/>
  </cols>
  <sheetData>
    <row r="1" spans="1:17">
      <c r="M1" s="109" t="s">
        <v>20</v>
      </c>
      <c r="N1" s="109"/>
      <c r="O1" s="109"/>
    </row>
    <row r="2" spans="1:17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3" t="s">
        <v>21</v>
      </c>
      <c r="N2" s="1" t="s">
        <v>13</v>
      </c>
      <c r="O2" s="1"/>
    </row>
    <row r="3" spans="1:17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22</v>
      </c>
      <c r="N3" s="1">
        <v>110</v>
      </c>
      <c r="O3" s="1" t="s">
        <v>27</v>
      </c>
    </row>
    <row r="4" spans="1:17">
      <c r="A4" s="110" t="s">
        <v>31</v>
      </c>
      <c r="B4" s="109" t="s">
        <v>81</v>
      </c>
      <c r="C4" s="109"/>
      <c r="D4" s="109"/>
      <c r="E4" s="1"/>
      <c r="F4" s="109" t="s">
        <v>84</v>
      </c>
      <c r="G4" s="109"/>
      <c r="H4" s="109"/>
      <c r="I4" s="1"/>
      <c r="J4" s="109" t="s">
        <v>59</v>
      </c>
      <c r="K4" s="109"/>
      <c r="L4" s="1"/>
      <c r="M4" s="1" t="s">
        <v>23</v>
      </c>
      <c r="N4" s="1">
        <v>83</v>
      </c>
      <c r="O4" s="1" t="s">
        <v>27</v>
      </c>
    </row>
    <row r="5" spans="1:17">
      <c r="A5" s="110"/>
      <c r="B5" s="1" t="s">
        <v>45</v>
      </c>
      <c r="C5" s="1" t="s">
        <v>48</v>
      </c>
      <c r="D5" s="1"/>
      <c r="E5" s="1"/>
      <c r="F5" s="1" t="s">
        <v>7</v>
      </c>
      <c r="G5" s="4">
        <v>8000</v>
      </c>
      <c r="H5" s="1" t="s">
        <v>0</v>
      </c>
      <c r="I5" s="1"/>
      <c r="J5" s="1" t="s">
        <v>70</v>
      </c>
      <c r="K5" s="1">
        <v>0.19</v>
      </c>
      <c r="L5" s="1"/>
      <c r="M5" s="1" t="s">
        <v>24</v>
      </c>
      <c r="N5" s="1">
        <v>83</v>
      </c>
      <c r="O5" s="1" t="s">
        <v>27</v>
      </c>
    </row>
    <row r="6" spans="1:17">
      <c r="A6" s="110"/>
      <c r="B6" s="1" t="s">
        <v>74</v>
      </c>
      <c r="C6" s="1">
        <v>15</v>
      </c>
      <c r="D6" s="1" t="s">
        <v>17</v>
      </c>
      <c r="E6" s="1"/>
      <c r="F6" s="1" t="s">
        <v>8</v>
      </c>
      <c r="G6" s="1">
        <v>193</v>
      </c>
      <c r="H6" s="1" t="s">
        <v>10</v>
      </c>
      <c r="I6" s="1"/>
      <c r="J6" s="1" t="s">
        <v>66</v>
      </c>
      <c r="K6" s="1">
        <v>0.35</v>
      </c>
      <c r="L6" s="1"/>
      <c r="M6" s="23" t="s">
        <v>25</v>
      </c>
      <c r="N6" s="1" t="s">
        <v>13</v>
      </c>
      <c r="O6" s="1"/>
    </row>
    <row r="7" spans="1:17">
      <c r="A7" s="110"/>
      <c r="B7" s="1" t="s">
        <v>46</v>
      </c>
      <c r="C7" s="1">
        <v>2</v>
      </c>
      <c r="D7" s="1" t="s">
        <v>73</v>
      </c>
      <c r="E7" s="1"/>
      <c r="F7" s="1" t="s">
        <v>28</v>
      </c>
      <c r="G7" s="4">
        <f>G6/(2*(1+G10))</f>
        <v>74.806201550387598</v>
      </c>
      <c r="H7" s="1" t="s">
        <v>10</v>
      </c>
      <c r="I7" s="1"/>
      <c r="J7" s="1" t="s">
        <v>67</v>
      </c>
      <c r="K7" s="1">
        <v>0.1</v>
      </c>
      <c r="L7" s="1"/>
      <c r="M7" s="1" t="s">
        <v>22</v>
      </c>
      <c r="N7" s="1">
        <v>53</v>
      </c>
      <c r="O7" s="1" t="s">
        <v>27</v>
      </c>
    </row>
    <row r="8" spans="1:17">
      <c r="A8" s="110"/>
      <c r="B8" s="1" t="s">
        <v>75</v>
      </c>
      <c r="C8" s="1">
        <v>8</v>
      </c>
      <c r="D8" s="1" t="s">
        <v>1</v>
      </c>
      <c r="E8" s="1"/>
      <c r="F8" s="1" t="s">
        <v>9</v>
      </c>
      <c r="G8" s="1">
        <v>215</v>
      </c>
      <c r="H8" s="1" t="s">
        <v>2</v>
      </c>
      <c r="I8" s="1"/>
      <c r="J8" s="1" t="s">
        <v>68</v>
      </c>
      <c r="K8" s="1">
        <v>0.2</v>
      </c>
      <c r="L8" s="1"/>
      <c r="M8" s="1" t="s">
        <v>23</v>
      </c>
      <c r="N8" s="1">
        <v>41</v>
      </c>
      <c r="O8" s="1" t="s">
        <v>27</v>
      </c>
    </row>
    <row r="9" spans="1:17">
      <c r="A9" s="110"/>
      <c r="B9" s="1" t="s">
        <v>76</v>
      </c>
      <c r="C9" s="1">
        <v>6</v>
      </c>
      <c r="D9" s="1" t="s">
        <v>1</v>
      </c>
      <c r="E9" s="1"/>
      <c r="F9" s="1" t="s">
        <v>85</v>
      </c>
      <c r="G9" s="1">
        <v>505</v>
      </c>
      <c r="H9" s="1" t="s">
        <v>2</v>
      </c>
      <c r="I9" s="1"/>
      <c r="J9" s="1" t="s">
        <v>69</v>
      </c>
      <c r="K9" s="1">
        <v>0.4</v>
      </c>
      <c r="L9" s="1"/>
      <c r="M9" s="1" t="s">
        <v>24</v>
      </c>
      <c r="N9" s="1">
        <v>41</v>
      </c>
      <c r="O9" s="1" t="s">
        <v>27</v>
      </c>
    </row>
    <row r="10" spans="1:17">
      <c r="A10" s="110"/>
      <c r="B10" s="1" t="s">
        <v>77</v>
      </c>
      <c r="C10" s="1">
        <f>(C8+C9)/2</f>
        <v>7</v>
      </c>
      <c r="D10" s="1" t="s">
        <v>1</v>
      </c>
      <c r="E10" s="1"/>
      <c r="F10" s="1" t="s">
        <v>14</v>
      </c>
      <c r="G10" s="1">
        <v>0.28999999999999998</v>
      </c>
      <c r="H10" s="1"/>
      <c r="I10" s="1"/>
      <c r="J10" s="1" t="s">
        <v>71</v>
      </c>
      <c r="K10" s="1">
        <v>1.5E-3</v>
      </c>
      <c r="L10" s="1"/>
      <c r="M10" s="23" t="s">
        <v>26</v>
      </c>
      <c r="N10" s="1" t="s">
        <v>13</v>
      </c>
      <c r="O10" s="1"/>
    </row>
    <row r="11" spans="1:17">
      <c r="A11" s="110"/>
      <c r="B11" s="1" t="s">
        <v>86</v>
      </c>
      <c r="C11" s="1">
        <v>35</v>
      </c>
      <c r="D11" s="1" t="s">
        <v>1</v>
      </c>
      <c r="E11" s="1"/>
      <c r="F11" s="1"/>
      <c r="G11" s="1"/>
      <c r="H11" s="1"/>
      <c r="I11" s="1"/>
      <c r="J11" s="1"/>
      <c r="K11" s="1"/>
      <c r="L11" s="1"/>
      <c r="M11" s="1" t="s">
        <v>22</v>
      </c>
      <c r="N11" s="1">
        <v>9</v>
      </c>
      <c r="O11" s="1" t="s">
        <v>27</v>
      </c>
    </row>
    <row r="12" spans="1:17">
      <c r="A12" s="110"/>
      <c r="B12" s="1" t="s">
        <v>87</v>
      </c>
      <c r="C12" s="1">
        <v>230</v>
      </c>
      <c r="D12" s="1" t="s">
        <v>1</v>
      </c>
      <c r="E12" s="1"/>
      <c r="F12" s="1"/>
      <c r="G12" s="1"/>
      <c r="H12" s="1"/>
      <c r="I12" s="1"/>
      <c r="J12" s="1"/>
      <c r="K12" s="1"/>
      <c r="L12" s="1"/>
      <c r="M12" s="1" t="s">
        <v>23</v>
      </c>
      <c r="N12" s="1">
        <v>7</v>
      </c>
      <c r="O12" s="1" t="s">
        <v>27</v>
      </c>
    </row>
    <row r="13" spans="1:17" ht="14.4" customHeight="1">
      <c r="A13" s="110"/>
      <c r="B13" s="1"/>
      <c r="C13" s="1"/>
      <c r="D13" s="1"/>
      <c r="E13" s="1"/>
      <c r="F13" s="1"/>
      <c r="G13" s="1"/>
      <c r="H13" s="1"/>
      <c r="I13" s="16"/>
      <c r="J13" s="1"/>
      <c r="K13" s="1"/>
      <c r="L13" s="1"/>
      <c r="M13" s="1" t="s">
        <v>24</v>
      </c>
      <c r="N13" s="1">
        <v>7</v>
      </c>
      <c r="O13" s="1" t="s">
        <v>27</v>
      </c>
    </row>
    <row r="14" spans="1:17">
      <c r="A14" s="27"/>
      <c r="B14" s="60"/>
      <c r="C14" s="60"/>
      <c r="D14" s="60"/>
      <c r="E14" s="60"/>
      <c r="F14" s="60"/>
      <c r="G14" s="60"/>
      <c r="H14" s="60"/>
      <c r="I14" s="26"/>
      <c r="J14" s="60"/>
      <c r="K14" s="60"/>
      <c r="L14" s="60"/>
    </row>
    <row r="15" spans="1:17">
      <c r="A15" s="110" t="s">
        <v>114</v>
      </c>
      <c r="I15" s="1"/>
    </row>
    <row r="16" spans="1:17" ht="14.1">
      <c r="A16" s="110"/>
      <c r="B16" s="1"/>
      <c r="C16" s="1"/>
      <c r="D16" s="1"/>
      <c r="E16" s="1"/>
      <c r="F16" s="1"/>
      <c r="G16" s="111" t="s">
        <v>79</v>
      </c>
      <c r="H16" s="111" t="s">
        <v>80</v>
      </c>
      <c r="I16" s="1"/>
      <c r="O16" s="114" t="s">
        <v>180</v>
      </c>
      <c r="P16" s="114"/>
      <c r="Q16" s="114"/>
    </row>
    <row r="17" spans="1:12">
      <c r="A17" s="110"/>
      <c r="B17" s="1"/>
      <c r="C17" s="1"/>
      <c r="D17" s="1"/>
      <c r="E17" s="1"/>
      <c r="F17" s="1"/>
      <c r="G17" s="111"/>
      <c r="H17" s="111"/>
      <c r="I17" s="1"/>
    </row>
    <row r="18" spans="1:12" ht="14.4" customHeight="1">
      <c r="A18" s="110"/>
      <c r="B18" s="57" t="s">
        <v>54</v>
      </c>
      <c r="C18" s="57"/>
      <c r="D18" s="1"/>
      <c r="E18" s="1"/>
      <c r="F18" s="55" t="s">
        <v>61</v>
      </c>
      <c r="G18" s="22"/>
      <c r="H18" s="22"/>
      <c r="I18" s="1"/>
    </row>
    <row r="19" spans="1:12">
      <c r="A19" s="110"/>
      <c r="B19" s="1" t="s">
        <v>72</v>
      </c>
      <c r="C19" s="1">
        <v>68</v>
      </c>
      <c r="D19" s="1"/>
      <c r="E19" s="1"/>
      <c r="F19" s="1" t="s">
        <v>62</v>
      </c>
      <c r="G19" s="1">
        <v>10</v>
      </c>
      <c r="H19" s="1">
        <f>G19</f>
        <v>10</v>
      </c>
      <c r="I19" s="1"/>
    </row>
    <row r="20" spans="1:12">
      <c r="A20" s="110"/>
      <c r="B20" s="1" t="s">
        <v>55</v>
      </c>
      <c r="C20" s="3">
        <f>K7*(C19*TAN(30*PI()/180)+N3)</f>
        <v>14.925981830489457</v>
      </c>
      <c r="D20" s="1"/>
      <c r="E20" s="1"/>
      <c r="F20" s="1" t="s">
        <v>63</v>
      </c>
      <c r="G20" s="1">
        <f>K10*G19</f>
        <v>1.4999999999999999E-2</v>
      </c>
      <c r="H20" s="1">
        <f>K8*H19</f>
        <v>2</v>
      </c>
      <c r="I20" s="1"/>
    </row>
    <row r="21" spans="1:12">
      <c r="A21" s="110"/>
      <c r="B21" s="1" t="s">
        <v>56</v>
      </c>
      <c r="C21" s="3">
        <f>K6*(C19/COS(30*PI()/180)+N5)</f>
        <v>56.531872813426183</v>
      </c>
      <c r="D21" s="1"/>
      <c r="E21" s="1"/>
      <c r="F21" s="1" t="s">
        <v>64</v>
      </c>
      <c r="G21" s="2">
        <f>C25*K10</f>
        <v>0.39668678196587348</v>
      </c>
      <c r="H21" s="3">
        <f>K8*C25</f>
        <v>52.891570928783132</v>
      </c>
      <c r="I21" s="1"/>
    </row>
    <row r="22" spans="1:12">
      <c r="A22" s="110"/>
      <c r="B22" s="1" t="s">
        <v>57</v>
      </c>
      <c r="C22" s="1">
        <f>N4</f>
        <v>83</v>
      </c>
      <c r="D22" s="1"/>
      <c r="E22" s="1"/>
      <c r="F22" s="1"/>
      <c r="G22" s="1"/>
      <c r="H22" s="1"/>
      <c r="I22" s="1"/>
    </row>
    <row r="23" spans="1:12">
      <c r="A23" s="110"/>
      <c r="B23" s="1" t="s">
        <v>58</v>
      </c>
      <c r="C23" s="1">
        <f>N3</f>
        <v>110</v>
      </c>
      <c r="D23" s="1"/>
      <c r="E23" s="1"/>
      <c r="F23" s="1"/>
      <c r="G23" s="1"/>
      <c r="H23" s="1"/>
      <c r="I23" s="1"/>
    </row>
    <row r="24" spans="1:12">
      <c r="A24" s="110"/>
      <c r="B24" s="1"/>
      <c r="C24" s="1"/>
      <c r="D24" s="1"/>
      <c r="E24" s="1"/>
      <c r="F24" s="1"/>
      <c r="G24" s="1"/>
      <c r="H24" s="1"/>
      <c r="I24" s="1"/>
    </row>
    <row r="25" spans="1:12">
      <c r="A25" s="110"/>
      <c r="B25" s="1" t="s">
        <v>60</v>
      </c>
      <c r="C25" s="4">
        <f>C20+C21+C22+C23</f>
        <v>264.45785464391565</v>
      </c>
      <c r="D25" s="1"/>
      <c r="E25" s="1"/>
      <c r="F25" s="1" t="s">
        <v>65</v>
      </c>
      <c r="G25" s="2">
        <f>G20+G21</f>
        <v>0.41168678196587349</v>
      </c>
      <c r="H25" s="2">
        <f>H20+H21</f>
        <v>54.891570928783132</v>
      </c>
      <c r="I25" s="1"/>
    </row>
    <row r="26" spans="1:12" ht="24.9">
      <c r="A26" s="110"/>
      <c r="B26" s="23" t="s">
        <v>78</v>
      </c>
      <c r="C26" s="4">
        <f>C25*(C10/2)*(TAN(C7/(PI()*C10))+(K5/COS(C6*PI()/180)))/(1-K5*(TAN(C7/(PI()*C10))/COS(C6*PI()/180)))</f>
        <v>271.34835018598682</v>
      </c>
      <c r="D26" s="1"/>
      <c r="E26" s="1"/>
      <c r="F26" s="56" t="s">
        <v>82</v>
      </c>
      <c r="G26" s="4">
        <f>G25*C8/2</f>
        <v>1.646747127863494</v>
      </c>
      <c r="H26" s="4">
        <f>H25*C8/2</f>
        <v>219.56628371513253</v>
      </c>
      <c r="I26" s="1"/>
    </row>
    <row r="27" spans="1:12">
      <c r="A27" s="2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27"/>
      <c r="B28" s="60"/>
      <c r="C28" s="60"/>
      <c r="D28" s="60"/>
      <c r="E28" s="60"/>
      <c r="F28" s="60"/>
      <c r="G28" s="60"/>
      <c r="H28" s="60"/>
      <c r="I28" s="26"/>
      <c r="J28" s="26"/>
      <c r="K28" s="26"/>
      <c r="L28" s="26"/>
    </row>
    <row r="29" spans="1:12">
      <c r="A29" s="110" t="s">
        <v>121</v>
      </c>
      <c r="I29" s="1"/>
      <c r="J29" s="1"/>
      <c r="K29" s="1"/>
      <c r="L29" s="1"/>
    </row>
    <row r="30" spans="1:12" ht="14.1">
      <c r="A30" s="110"/>
      <c r="B30" s="121" t="s">
        <v>184</v>
      </c>
      <c r="C30" s="121"/>
      <c r="D30" s="121"/>
      <c r="F30" s="112" t="s">
        <v>88</v>
      </c>
      <c r="G30" s="112"/>
      <c r="H30" s="112"/>
      <c r="I30" s="1"/>
      <c r="J30" s="109" t="s">
        <v>91</v>
      </c>
      <c r="K30" s="109"/>
      <c r="L30" s="109"/>
    </row>
    <row r="31" spans="1:12">
      <c r="A31" s="110"/>
      <c r="B31" s="59" t="s">
        <v>185</v>
      </c>
      <c r="C31" s="59">
        <v>5</v>
      </c>
      <c r="D31" s="59" t="s">
        <v>1</v>
      </c>
      <c r="F31" s="1" t="s">
        <v>83</v>
      </c>
      <c r="G31" s="3">
        <f>1/((1/(G6*PI()*C9^2/(4*C12)))+(2/(3.15*PI()*(9^2-8^2)/5))+(1/(20*12.7*10/11))+(2/C33))</f>
        <v>5.589304229447893</v>
      </c>
      <c r="H31" s="1" t="s">
        <v>29</v>
      </c>
      <c r="I31" s="1"/>
      <c r="J31" s="1" t="s">
        <v>93</v>
      </c>
      <c r="K31" s="3">
        <f>4*C25/(PI()*C9^2)</f>
        <v>9.3532832902349163</v>
      </c>
      <c r="L31" s="1" t="s">
        <v>2</v>
      </c>
    </row>
    <row r="32" spans="1:12">
      <c r="A32" s="110"/>
      <c r="B32" s="59" t="s">
        <v>186</v>
      </c>
      <c r="C32" s="59">
        <v>1.37</v>
      </c>
      <c r="D32" s="59" t="s">
        <v>96</v>
      </c>
      <c r="F32" s="1" t="s">
        <v>94</v>
      </c>
      <c r="G32" s="3">
        <f>3*C12*G6*PI()*C9^4/(64*(2*C11)^2*(C12-2*C11)^2)</f>
        <v>6.7537542625882435E-2</v>
      </c>
      <c r="H32" s="1" t="s">
        <v>29</v>
      </c>
      <c r="I32" s="1"/>
      <c r="J32" s="1" t="s">
        <v>92</v>
      </c>
      <c r="K32" s="3">
        <f>2*2*C25/(PI()*C10*2*C10)</f>
        <v>3.435899984167929</v>
      </c>
      <c r="L32" s="1" t="s">
        <v>2</v>
      </c>
    </row>
    <row r="33" spans="1:12">
      <c r="A33" s="110"/>
      <c r="B33" s="59" t="s">
        <v>187</v>
      </c>
      <c r="C33" s="59">
        <f>C32/(C31*0.01)</f>
        <v>27.400000000000002</v>
      </c>
      <c r="D33" s="59" t="s">
        <v>29</v>
      </c>
      <c r="F33" s="1"/>
      <c r="G33" s="1"/>
      <c r="H33" s="1"/>
      <c r="I33" s="1"/>
      <c r="J33" s="1" t="s">
        <v>155</v>
      </c>
      <c r="K33" s="3">
        <f>SQRT(K31^2+3*K32^2)</f>
        <v>11.086033303711622</v>
      </c>
      <c r="L33" s="1" t="s">
        <v>2</v>
      </c>
    </row>
    <row r="34" spans="1:12">
      <c r="A34" s="110"/>
      <c r="F34" s="109" t="s">
        <v>89</v>
      </c>
      <c r="G34" s="109"/>
      <c r="H34" s="109"/>
    </row>
    <row r="35" spans="1:12">
      <c r="A35" s="110"/>
      <c r="F35" s="1" t="s">
        <v>90</v>
      </c>
      <c r="G35" s="4">
        <v>25</v>
      </c>
      <c r="H35" s="1" t="s">
        <v>29</v>
      </c>
      <c r="J35" s="1" t="s">
        <v>95</v>
      </c>
      <c r="K35" s="3">
        <f>PI()^2*G6*PI()*C9^4/(64*C12^2)</f>
        <v>2.2907425488805626</v>
      </c>
      <c r="L35" s="1" t="s">
        <v>96</v>
      </c>
    </row>
    <row r="36" spans="1:12">
      <c r="A36" s="110"/>
      <c r="F36" s="1" t="s">
        <v>19</v>
      </c>
      <c r="G36" s="3">
        <v>10.611828443164015</v>
      </c>
      <c r="H36" s="1" t="s">
        <v>29</v>
      </c>
    </row>
    <row r="37" spans="1:12">
      <c r="A37" s="27"/>
    </row>
    <row r="38" spans="1:12">
      <c r="A38" s="110" t="s">
        <v>146</v>
      </c>
      <c r="B38" s="26"/>
      <c r="C38" s="26"/>
      <c r="D38" s="26"/>
      <c r="E38" s="60"/>
      <c r="F38" s="60"/>
      <c r="G38" s="60"/>
      <c r="H38" s="60"/>
      <c r="I38" s="60"/>
      <c r="J38" s="60"/>
      <c r="K38" s="60"/>
      <c r="L38" s="60"/>
    </row>
    <row r="39" spans="1:12">
      <c r="A39" s="110"/>
      <c r="B39" s="1"/>
      <c r="C39" s="1"/>
      <c r="D39" s="1"/>
    </row>
    <row r="40" spans="1:12">
      <c r="A40" s="110"/>
      <c r="B40" s="109" t="s">
        <v>97</v>
      </c>
      <c r="C40" s="109"/>
      <c r="D40" s="109"/>
    </row>
    <row r="41" spans="1:12">
      <c r="A41" s="110"/>
      <c r="B41" s="1" t="s">
        <v>98</v>
      </c>
      <c r="C41" s="3">
        <f>PI()*K5*C10/COS(C6*PI()/180)</f>
        <v>4.3257133369410479</v>
      </c>
      <c r="D41" s="1" t="s">
        <v>1</v>
      </c>
    </row>
    <row r="42" spans="1:12">
      <c r="A42" s="110"/>
      <c r="B42" s="1" t="s">
        <v>99</v>
      </c>
      <c r="C42" s="4">
        <f>C7*1000*2/360</f>
        <v>11.111111111111111</v>
      </c>
      <c r="D42" s="1" t="s">
        <v>30</v>
      </c>
    </row>
    <row r="43" spans="1:12">
      <c r="A43" s="110"/>
      <c r="B43" s="1"/>
      <c r="C43" s="4"/>
      <c r="D43" s="1"/>
    </row>
    <row r="44" spans="1:12">
      <c r="A44" s="110"/>
    </row>
    <row r="45" spans="1:12">
      <c r="A45" s="11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7" spans="1:12" ht="14.4" customHeight="1">
      <c r="A47" s="110" t="s">
        <v>122</v>
      </c>
      <c r="B47" s="116" t="s">
        <v>117</v>
      </c>
      <c r="C47" s="116"/>
      <c r="D47" s="116"/>
      <c r="F47" s="113" t="s">
        <v>113</v>
      </c>
      <c r="G47" s="113"/>
      <c r="H47" s="113"/>
      <c r="J47" s="113" t="s">
        <v>101</v>
      </c>
      <c r="K47" s="113"/>
      <c r="L47" s="113"/>
    </row>
    <row r="48" spans="1:12">
      <c r="A48" s="110"/>
      <c r="B48" s="1" t="s">
        <v>102</v>
      </c>
      <c r="C48" s="2">
        <f>(25.4*0.01/230)*180/PI()</f>
        <v>6.327446954923005E-2</v>
      </c>
      <c r="D48" s="1" t="s">
        <v>17</v>
      </c>
      <c r="E48" s="1"/>
      <c r="F48" s="1" t="s">
        <v>110</v>
      </c>
      <c r="G48" s="53">
        <f>C53*(K6+K7)*0.5*(C10/2)*(TAN(C7/(PI()*C10))+(K5/COS(C6*PI()/180)))/(1-K5*(TAN(C7/(PI()*C10))/COS(C6*PI()/180)))</f>
        <v>3.9603375564426986</v>
      </c>
      <c r="H48" s="21" t="s">
        <v>112</v>
      </c>
      <c r="I48" s="1"/>
      <c r="J48" s="1" t="s">
        <v>103</v>
      </c>
      <c r="K48" s="53">
        <f>C53/G35</f>
        <v>0.68618143307896573</v>
      </c>
      <c r="L48" s="21" t="s">
        <v>30</v>
      </c>
    </row>
    <row r="49" spans="1:16">
      <c r="A49" s="110"/>
      <c r="B49" s="1" t="s">
        <v>100</v>
      </c>
      <c r="C49" s="2">
        <f>25.4*0.005</f>
        <v>0.127</v>
      </c>
      <c r="D49" s="1" t="s">
        <v>1</v>
      </c>
      <c r="E49" s="1"/>
      <c r="F49" s="1" t="s">
        <v>111</v>
      </c>
      <c r="G49" s="53">
        <f>C54*(K6+K7)*0.5*(C10/2)*(TAN(C7/(PI()*C10))+(K5/COS(C6*PI()/180)))/(1-K5*(TAN(C7/(PI()*C10))/COS(C6*PI()/180)))</f>
        <v>1.9801687782213491</v>
      </c>
      <c r="H49" s="21" t="s">
        <v>112</v>
      </c>
      <c r="I49" s="1"/>
      <c r="J49" s="1" t="s">
        <v>104</v>
      </c>
      <c r="K49" s="53">
        <f>C53/G36</f>
        <v>1.616548544753835</v>
      </c>
      <c r="L49" s="21" t="s">
        <v>30</v>
      </c>
    </row>
    <row r="50" spans="1:16" ht="14.4" customHeight="1">
      <c r="A50" s="110"/>
      <c r="B50" s="1" t="s">
        <v>115</v>
      </c>
      <c r="C50" s="2">
        <f>25.4*0.002</f>
        <v>5.0799999999999998E-2</v>
      </c>
      <c r="D50" s="1" t="s">
        <v>1</v>
      </c>
      <c r="E50" s="1"/>
      <c r="F50" s="1" t="s">
        <v>118</v>
      </c>
      <c r="G50" s="53">
        <f>C55*(K6+K7)*0.5*(C10/2)*(TAN(C7/(PI()*C10))+(K5/COS(C6*PI()/180)))/(1-K5*(TAN(C7/(PI()*C10))/COS(C6*PI()/180)))</f>
        <v>0.79206751128853947</v>
      </c>
      <c r="H50" s="21" t="s">
        <v>112</v>
      </c>
      <c r="I50" s="1"/>
      <c r="J50" s="1"/>
      <c r="K50" s="1"/>
      <c r="L50" s="1"/>
      <c r="N50" s="115" t="s">
        <v>129</v>
      </c>
      <c r="O50" s="115"/>
      <c r="P50" s="115"/>
    </row>
    <row r="51" spans="1:16">
      <c r="A51" s="110"/>
      <c r="F51" s="1"/>
      <c r="G51" s="53"/>
      <c r="H51" s="21"/>
      <c r="J51" s="1" t="s">
        <v>105</v>
      </c>
      <c r="K51" s="53">
        <f>C54/G35</f>
        <v>0.34309071653948281</v>
      </c>
      <c r="L51" s="21" t="s">
        <v>30</v>
      </c>
      <c r="N51" s="115"/>
      <c r="O51" s="115"/>
      <c r="P51" s="115"/>
    </row>
    <row r="52" spans="1:16">
      <c r="A52" s="110"/>
      <c r="B52" s="113" t="s">
        <v>107</v>
      </c>
      <c r="C52" s="113"/>
      <c r="D52" s="113"/>
      <c r="F52" s="1" t="s">
        <v>138</v>
      </c>
      <c r="G52" s="61">
        <f>((G50+G48+G49)+SQRT(G49^2+G48^2+G50^2))/2</f>
        <v>5.6153263231231634</v>
      </c>
      <c r="H52" s="21" t="s">
        <v>112</v>
      </c>
      <c r="J52" s="1" t="s">
        <v>106</v>
      </c>
      <c r="K52" s="53">
        <f>C54/G36</f>
        <v>0.8082742723769174</v>
      </c>
      <c r="L52" s="21" t="s">
        <v>30</v>
      </c>
      <c r="N52" s="115"/>
      <c r="O52" s="115"/>
      <c r="P52" s="115"/>
    </row>
    <row r="53" spans="1:16">
      <c r="A53" s="110"/>
      <c r="B53" s="1" t="s">
        <v>108</v>
      </c>
      <c r="C53" s="53">
        <f>(C48*PI()/180)*C12*G32*1000</f>
        <v>17.154535826974143</v>
      </c>
      <c r="D53" s="21" t="s">
        <v>27</v>
      </c>
      <c r="N53" s="115"/>
      <c r="O53" s="115"/>
      <c r="P53" s="115"/>
    </row>
    <row r="54" spans="1:16">
      <c r="A54" s="110"/>
      <c r="B54" s="1" t="s">
        <v>109</v>
      </c>
      <c r="C54" s="53">
        <f>C49*G32*1000</f>
        <v>8.57726791348707</v>
      </c>
      <c r="D54" s="21" t="s">
        <v>27</v>
      </c>
      <c r="J54" s="1" t="s">
        <v>119</v>
      </c>
      <c r="K54" s="53">
        <f>C55/G35</f>
        <v>0.1372362866157931</v>
      </c>
      <c r="L54" s="21" t="s">
        <v>30</v>
      </c>
      <c r="N54" s="115"/>
      <c r="O54" s="115"/>
      <c r="P54" s="115"/>
    </row>
    <row r="55" spans="1:16">
      <c r="A55" s="110"/>
      <c r="B55" s="1" t="s">
        <v>116</v>
      </c>
      <c r="C55" s="53">
        <f>C50*G32*1000</f>
        <v>3.4309071653948275</v>
      </c>
      <c r="D55" s="21" t="s">
        <v>27</v>
      </c>
      <c r="J55" s="1" t="s">
        <v>120</v>
      </c>
      <c r="K55" s="53">
        <f>C55/G36</f>
        <v>0.32330970895076688</v>
      </c>
      <c r="L55" s="21" t="s">
        <v>30</v>
      </c>
      <c r="N55" s="115"/>
      <c r="O55" s="115"/>
      <c r="P55" s="115"/>
    </row>
    <row r="56" spans="1:16">
      <c r="A56" s="110"/>
      <c r="N56" s="115"/>
      <c r="O56" s="115"/>
      <c r="P56" s="115"/>
    </row>
    <row r="57" spans="1:16">
      <c r="A57" s="110"/>
      <c r="B57" s="113" t="s">
        <v>125</v>
      </c>
      <c r="C57" s="113"/>
      <c r="D57" s="113"/>
      <c r="J57" s="1" t="s">
        <v>123</v>
      </c>
      <c r="K57" s="3">
        <f>((K48+K51+K54)+SQRT(K54^2+K51^2+K48^2))/2</f>
        <v>0.97293036482165385</v>
      </c>
      <c r="L57" s="21" t="s">
        <v>30</v>
      </c>
    </row>
    <row r="58" spans="1:16">
      <c r="A58" s="110"/>
      <c r="B58" s="1" t="s">
        <v>126</v>
      </c>
      <c r="C58" s="53">
        <f>C53*(C12-2*C11)*C9/(2*(PI()*C9^4/64))</f>
        <v>129.43308673469392</v>
      </c>
      <c r="D58" s="21" t="s">
        <v>2</v>
      </c>
      <c r="J58" s="1" t="s">
        <v>124</v>
      </c>
      <c r="K58" s="3">
        <f>((K49+K52+K55)+SQRT(K55^2+K52^2+K49^2))/2</f>
        <v>2.2920893652601437</v>
      </c>
      <c r="L58" s="21" t="s">
        <v>30</v>
      </c>
    </row>
    <row r="59" spans="1:16">
      <c r="A59" s="110"/>
      <c r="B59" s="1" t="s">
        <v>127</v>
      </c>
      <c r="C59" s="53">
        <f>C54*(C12-2*C11)*C9/(2*(PI()*C9^4/64))</f>
        <v>64.716543367346944</v>
      </c>
      <c r="D59" s="21" t="s">
        <v>2</v>
      </c>
    </row>
    <row r="60" spans="1:16">
      <c r="A60" s="110"/>
      <c r="B60" s="1" t="s">
        <v>128</v>
      </c>
      <c r="C60" s="53">
        <f>C55*(C12-2*C11)*C9/(2*(PI()*C9^4/64))</f>
        <v>25.88661734693877</v>
      </c>
      <c r="D60" s="21" t="s">
        <v>2</v>
      </c>
    </row>
    <row r="63" spans="1:16" ht="14.1">
      <c r="B63" s="114" t="s">
        <v>114</v>
      </c>
      <c r="C63" s="114"/>
      <c r="D63" s="114"/>
      <c r="G63" s="114" t="s">
        <v>179</v>
      </c>
      <c r="H63" s="114"/>
      <c r="I63" s="114"/>
      <c r="M63" s="114" t="s">
        <v>178</v>
      </c>
      <c r="N63" s="114"/>
      <c r="O63" s="114"/>
    </row>
  </sheetData>
  <mergeCells count="26">
    <mergeCell ref="M63:O63"/>
    <mergeCell ref="G63:I63"/>
    <mergeCell ref="B63:D63"/>
    <mergeCell ref="O16:Q16"/>
    <mergeCell ref="N50:P56"/>
    <mergeCell ref="B47:D47"/>
    <mergeCell ref="F47:H47"/>
    <mergeCell ref="J47:L47"/>
    <mergeCell ref="B52:D52"/>
    <mergeCell ref="F34:H34"/>
    <mergeCell ref="J30:L30"/>
    <mergeCell ref="B30:D30"/>
    <mergeCell ref="A38:A45"/>
    <mergeCell ref="B40:D40"/>
    <mergeCell ref="B57:D57"/>
    <mergeCell ref="A47:A60"/>
    <mergeCell ref="M1:O1"/>
    <mergeCell ref="A4:A13"/>
    <mergeCell ref="A15:A26"/>
    <mergeCell ref="J4:K4"/>
    <mergeCell ref="F30:H30"/>
    <mergeCell ref="G16:G17"/>
    <mergeCell ref="H16:H17"/>
    <mergeCell ref="B4:D4"/>
    <mergeCell ref="F4:H4"/>
    <mergeCell ref="A29:A3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6A71-DE7D-4A0F-8047-CD5735286E3F}">
  <dimension ref="B2:L17"/>
  <sheetViews>
    <sheetView topLeftCell="A9" zoomScaleNormal="100" workbookViewId="0">
      <selection activeCell="I11" sqref="I11"/>
    </sheetView>
  </sheetViews>
  <sheetFormatPr defaultRowHeight="14.4"/>
  <cols>
    <col min="2" max="2" width="22.41796875" bestFit="1" customWidth="1"/>
    <col min="6" max="6" width="19.26171875" bestFit="1" customWidth="1"/>
    <col min="10" max="10" width="19.26171875" bestFit="1" customWidth="1"/>
  </cols>
  <sheetData>
    <row r="2" spans="2:12">
      <c r="B2" s="127" t="s">
        <v>205</v>
      </c>
      <c r="C2" s="127"/>
      <c r="D2" s="127"/>
      <c r="F2" s="127" t="s">
        <v>203</v>
      </c>
      <c r="G2" s="127"/>
      <c r="H2" s="127"/>
      <c r="J2" s="127" t="s">
        <v>204</v>
      </c>
      <c r="K2" s="127"/>
      <c r="L2" s="127"/>
    </row>
    <row r="3" spans="2:12">
      <c r="B3" s="128" t="s">
        <v>207</v>
      </c>
      <c r="C3" s="129">
        <v>18</v>
      </c>
      <c r="D3" s="128" t="s">
        <v>1</v>
      </c>
      <c r="F3" t="s">
        <v>194</v>
      </c>
      <c r="G3">
        <v>12.2</v>
      </c>
      <c r="H3" t="s">
        <v>1</v>
      </c>
      <c r="J3" t="s">
        <v>192</v>
      </c>
      <c r="K3">
        <v>72</v>
      </c>
      <c r="L3" t="s">
        <v>2</v>
      </c>
    </row>
    <row r="4" spans="2:12">
      <c r="B4" s="66" t="s">
        <v>188</v>
      </c>
      <c r="C4" s="66">
        <v>17</v>
      </c>
      <c r="D4" s="66" t="s">
        <v>1</v>
      </c>
      <c r="F4" t="s">
        <v>195</v>
      </c>
      <c r="G4">
        <v>7.4</v>
      </c>
      <c r="H4" t="s">
        <v>1</v>
      </c>
      <c r="J4" t="s">
        <v>193</v>
      </c>
      <c r="K4">
        <v>3.15</v>
      </c>
      <c r="L4" t="s">
        <v>10</v>
      </c>
    </row>
    <row r="5" spans="2:12">
      <c r="B5" s="66" t="s">
        <v>189</v>
      </c>
      <c r="C5" s="66">
        <v>3.2</v>
      </c>
      <c r="D5" s="66" t="s">
        <v>1</v>
      </c>
    </row>
    <row r="6" spans="2:12">
      <c r="B6" s="66" t="s">
        <v>191</v>
      </c>
      <c r="C6" s="66">
        <v>3.5</v>
      </c>
      <c r="D6" s="66" t="s">
        <v>1</v>
      </c>
      <c r="F6" t="s">
        <v>196</v>
      </c>
      <c r="G6" s="124">
        <f>PI()*K3*G4*G3/4</f>
        <v>5105.2137257895574</v>
      </c>
      <c r="H6" t="s">
        <v>27</v>
      </c>
    </row>
    <row r="7" spans="2:12">
      <c r="B7" s="66" t="s">
        <v>190</v>
      </c>
      <c r="C7" s="66">
        <v>12</v>
      </c>
      <c r="D7" s="66" t="s">
        <v>1</v>
      </c>
    </row>
    <row r="8" spans="2:12">
      <c r="B8" t="s">
        <v>197</v>
      </c>
      <c r="C8" s="123">
        <f>C7*C6^3/12</f>
        <v>42.875</v>
      </c>
      <c r="D8" t="s">
        <v>198</v>
      </c>
    </row>
    <row r="11" spans="2:12">
      <c r="B11" s="127" t="s">
        <v>206</v>
      </c>
      <c r="C11" s="127"/>
      <c r="D11" s="127"/>
    </row>
    <row r="12" spans="2:12">
      <c r="B12" t="s">
        <v>199</v>
      </c>
      <c r="C12" s="125">
        <v>1</v>
      </c>
      <c r="D12" t="s">
        <v>1</v>
      </c>
    </row>
    <row r="13" spans="2:12">
      <c r="B13" t="s">
        <v>200</v>
      </c>
      <c r="C13" s="123">
        <f>C12*(C4^2*C5/(2*C8*K4*1000)+(C5/(K4*1000*C6*C7)))^(-1)</f>
        <v>290.02773801002144</v>
      </c>
      <c r="D13" t="s">
        <v>27</v>
      </c>
    </row>
    <row r="15" spans="2:12">
      <c r="B15" t="s">
        <v>209</v>
      </c>
      <c r="C15" s="123">
        <f>4*K4*C7*(C3-2*C5)^3/C4^3</f>
        <v>48.037344840219824</v>
      </c>
      <c r="D15" t="s">
        <v>29</v>
      </c>
    </row>
    <row r="17" spans="2:10">
      <c r="B17" s="130" t="s">
        <v>206</v>
      </c>
      <c r="C17" s="130"/>
      <c r="D17" s="130"/>
      <c r="E17" s="130"/>
      <c r="F17" s="130" t="s">
        <v>208</v>
      </c>
      <c r="G17" s="130"/>
      <c r="H17" s="130"/>
      <c r="I17" s="130"/>
      <c r="J17" s="130"/>
    </row>
  </sheetData>
  <mergeCells count="6">
    <mergeCell ref="F2:H2"/>
    <mergeCell ref="J2:L2"/>
    <mergeCell ref="B2:D2"/>
    <mergeCell ref="B11:D11"/>
    <mergeCell ref="B17:E17"/>
    <mergeCell ref="F17:J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B3E6-CF07-4E52-95FF-18F966DBC84D}">
  <dimension ref="B2:K27"/>
  <sheetViews>
    <sheetView zoomScale="71" zoomScaleNormal="85" workbookViewId="0">
      <selection activeCell="G16" sqref="G16"/>
    </sheetView>
  </sheetViews>
  <sheetFormatPr defaultRowHeight="14.4"/>
  <cols>
    <col min="2" max="2" width="5.734375" bestFit="1" customWidth="1"/>
    <col min="3" max="3" width="21.5234375" bestFit="1" customWidth="1"/>
    <col min="4" max="4" width="24.20703125" bestFit="1" customWidth="1"/>
    <col min="8" max="8" width="10.26171875" customWidth="1"/>
    <col min="9" max="9" width="23.83984375" customWidth="1"/>
    <col min="10" max="10" width="24.20703125" bestFit="1" customWidth="1"/>
    <col min="15" max="15" width="8.83984375" customWidth="1"/>
  </cols>
  <sheetData>
    <row r="2" spans="2:11">
      <c r="B2" s="116" t="s">
        <v>151</v>
      </c>
      <c r="C2" s="116"/>
      <c r="D2" s="116"/>
      <c r="H2" s="116" t="s">
        <v>153</v>
      </c>
      <c r="I2" s="116"/>
      <c r="J2" s="116"/>
    </row>
    <row r="3" spans="2:11">
      <c r="B3" s="42" t="s">
        <v>148</v>
      </c>
      <c r="C3" s="43" t="s">
        <v>183</v>
      </c>
      <c r="D3" s="43" t="s">
        <v>149</v>
      </c>
      <c r="H3" s="42" t="s">
        <v>36</v>
      </c>
      <c r="I3" s="43" t="s">
        <v>34</v>
      </c>
      <c r="J3" s="43" t="s">
        <v>154</v>
      </c>
    </row>
    <row r="4" spans="2:11">
      <c r="B4" s="44">
        <v>1</v>
      </c>
      <c r="C4" s="63">
        <v>5</v>
      </c>
      <c r="D4" s="51">
        <f t="shared" ref="D4:D9" si="0">C4*$D$14/2</f>
        <v>130</v>
      </c>
      <c r="E4" s="49"/>
      <c r="H4" s="44">
        <v>6</v>
      </c>
      <c r="I4" s="69">
        <v>8.0000000000000004E-4</v>
      </c>
      <c r="J4" s="45">
        <f>I4*1000*25.4</f>
        <v>20.32</v>
      </c>
      <c r="K4" s="49"/>
    </row>
    <row r="5" spans="2:11">
      <c r="B5" s="44">
        <v>2</v>
      </c>
      <c r="C5" s="64">
        <v>4.8</v>
      </c>
      <c r="D5" s="51">
        <f t="shared" si="0"/>
        <v>124.8</v>
      </c>
      <c r="E5" s="49"/>
      <c r="H5" s="44">
        <v>11</v>
      </c>
      <c r="I5" s="68">
        <v>1.6000000000000001E-3</v>
      </c>
      <c r="J5" s="45">
        <f t="shared" ref="J5:J8" si="1">I5*1000*25.4</f>
        <v>40.64</v>
      </c>
      <c r="K5" s="49"/>
    </row>
    <row r="6" spans="2:11">
      <c r="B6" s="44">
        <v>3</v>
      </c>
      <c r="C6" s="64">
        <v>4.5999999999999996</v>
      </c>
      <c r="D6" s="51">
        <f t="shared" si="0"/>
        <v>119.6</v>
      </c>
      <c r="H6" s="44">
        <v>16.5</v>
      </c>
      <c r="I6" s="68">
        <v>2.3999999999999998E-3</v>
      </c>
      <c r="J6" s="45">
        <f t="shared" si="1"/>
        <v>60.959999999999994</v>
      </c>
    </row>
    <row r="7" spans="2:11">
      <c r="B7" s="44">
        <v>4</v>
      </c>
      <c r="C7" s="126">
        <v>5.2</v>
      </c>
      <c r="D7" s="51">
        <f t="shared" si="0"/>
        <v>135.20000000000002</v>
      </c>
      <c r="H7" s="44">
        <v>21</v>
      </c>
      <c r="I7" s="68">
        <v>3.0000000000000001E-3</v>
      </c>
      <c r="J7" s="45">
        <f t="shared" si="1"/>
        <v>76.199999999999989</v>
      </c>
    </row>
    <row r="8" spans="2:11">
      <c r="B8" s="44">
        <v>5</v>
      </c>
      <c r="C8" s="64">
        <v>4.9000000000000004</v>
      </c>
      <c r="D8" s="51">
        <f t="shared" si="0"/>
        <v>127.4</v>
      </c>
      <c r="H8" s="44"/>
      <c r="I8" s="68"/>
      <c r="J8" s="45"/>
    </row>
    <row r="9" spans="2:11">
      <c r="B9" s="44">
        <v>6</v>
      </c>
      <c r="C9" s="64">
        <v>5.0999999999999996</v>
      </c>
      <c r="D9" s="51">
        <f t="shared" si="0"/>
        <v>132.6</v>
      </c>
    </row>
    <row r="10" spans="2:11">
      <c r="B10" s="44"/>
      <c r="C10" s="47"/>
      <c r="D10" s="45"/>
    </row>
    <row r="11" spans="2:11">
      <c r="B11" s="44"/>
      <c r="C11" s="65" t="s">
        <v>152</v>
      </c>
      <c r="D11" s="67">
        <f>AVERAGE(D4:D9)</f>
        <v>128.26666666666668</v>
      </c>
    </row>
    <row r="12" spans="2:11">
      <c r="C12" s="46" t="s">
        <v>166</v>
      </c>
      <c r="D12" s="51">
        <f>0.1*D14/2</f>
        <v>2.6</v>
      </c>
    </row>
    <row r="14" spans="2:11">
      <c r="C14" s="66" t="s">
        <v>150</v>
      </c>
      <c r="D14" s="44">
        <v>52</v>
      </c>
    </row>
    <row r="26" spans="9:10">
      <c r="I26" s="52" t="s">
        <v>35</v>
      </c>
      <c r="J26" s="70">
        <f>0.2681*9.81</f>
        <v>2.630061</v>
      </c>
    </row>
    <row r="27" spans="9:10">
      <c r="I27" s="46" t="s">
        <v>37</v>
      </c>
      <c r="J27" s="70">
        <f>0.1</f>
        <v>0.1</v>
      </c>
    </row>
  </sheetData>
  <mergeCells count="2">
    <mergeCell ref="B2:D2"/>
    <mergeCell ref="H2:J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47FF-4C85-4C0E-A732-D363074588D0}">
  <dimension ref="B2:P19"/>
  <sheetViews>
    <sheetView zoomScale="70" zoomScaleNormal="70" workbookViewId="0">
      <selection activeCell="H41" sqref="H41"/>
    </sheetView>
  </sheetViews>
  <sheetFormatPr defaultRowHeight="14.4"/>
  <cols>
    <col min="2" max="2" width="15.15625" customWidth="1"/>
    <col min="3" max="3" width="29.62890625" customWidth="1"/>
    <col min="4" max="4" width="37.26171875" customWidth="1"/>
    <col min="5" max="5" width="22.734375" customWidth="1"/>
    <col min="6" max="6" width="10.68359375" bestFit="1" customWidth="1"/>
    <col min="7" max="7" width="32.5234375" customWidth="1"/>
    <col min="8" max="8" width="34.62890625" customWidth="1"/>
    <col min="9" max="9" width="20.89453125" bestFit="1" customWidth="1"/>
    <col min="10" max="10" width="23.7890625" bestFit="1" customWidth="1"/>
    <col min="13" max="13" width="19.3671875" bestFit="1" customWidth="1"/>
    <col min="14" max="14" width="20.89453125" bestFit="1" customWidth="1"/>
    <col min="15" max="15" width="23.7890625" bestFit="1" customWidth="1"/>
  </cols>
  <sheetData>
    <row r="2" spans="2:16">
      <c r="B2" s="118" t="s">
        <v>172</v>
      </c>
      <c r="C2" s="118"/>
      <c r="D2" s="118"/>
      <c r="E2" s="92"/>
      <c r="F2" s="118" t="s">
        <v>172</v>
      </c>
      <c r="G2" s="118"/>
      <c r="H2" s="118"/>
      <c r="I2" s="92"/>
      <c r="J2" s="94"/>
      <c r="K2" s="93"/>
      <c r="L2" s="92"/>
      <c r="M2" s="92"/>
      <c r="N2" s="92"/>
      <c r="O2" s="94"/>
      <c r="P2" s="93"/>
    </row>
    <row r="3" spans="2:16">
      <c r="B3" s="42" t="s">
        <v>173</v>
      </c>
      <c r="C3" s="43" t="s">
        <v>174</v>
      </c>
      <c r="D3" s="43" t="s">
        <v>175</v>
      </c>
      <c r="E3" s="95"/>
      <c r="F3" s="42" t="s">
        <v>173</v>
      </c>
      <c r="G3" s="43" t="s">
        <v>174</v>
      </c>
      <c r="H3" s="43" t="s">
        <v>175</v>
      </c>
      <c r="I3" s="95"/>
      <c r="J3" s="95"/>
      <c r="K3" s="93"/>
      <c r="L3" s="96"/>
      <c r="M3" s="95"/>
      <c r="N3" s="95"/>
      <c r="O3" s="95"/>
      <c r="P3" s="93"/>
    </row>
    <row r="4" spans="2:16">
      <c r="B4" s="44">
        <v>70</v>
      </c>
      <c r="C4" s="46">
        <v>1E-3</v>
      </c>
      <c r="D4" s="44">
        <f>C4*25.4*1000</f>
        <v>25.4</v>
      </c>
      <c r="E4" s="97"/>
      <c r="F4" s="44">
        <v>70</v>
      </c>
      <c r="G4" s="46">
        <v>5.0000000000000001E-4</v>
      </c>
      <c r="H4" s="44">
        <f>G4*25.4*1000</f>
        <v>12.7</v>
      </c>
      <c r="I4" s="98"/>
      <c r="J4" s="97"/>
      <c r="K4" s="93"/>
      <c r="L4" s="98"/>
      <c r="M4" s="98"/>
      <c r="N4" s="98"/>
      <c r="O4" s="97"/>
      <c r="P4" s="93"/>
    </row>
    <row r="5" spans="2:16">
      <c r="B5" s="44">
        <v>140</v>
      </c>
      <c r="C5" s="46">
        <v>1.5E-3</v>
      </c>
      <c r="D5" s="44">
        <f>C5*25.4*1000</f>
        <v>38.1</v>
      </c>
      <c r="E5" s="97"/>
      <c r="F5" s="44">
        <v>140</v>
      </c>
      <c r="G5" s="46">
        <v>1E-3</v>
      </c>
      <c r="H5" s="44">
        <f>G5*25.4*1000</f>
        <v>25.4</v>
      </c>
      <c r="I5" s="98"/>
      <c r="J5" s="97"/>
      <c r="K5" s="93"/>
      <c r="L5" s="98"/>
      <c r="M5" s="99"/>
      <c r="N5" s="98"/>
      <c r="O5" s="97"/>
      <c r="P5" s="93"/>
    </row>
    <row r="6" spans="2:16">
      <c r="B6" s="44"/>
      <c r="C6" s="45"/>
      <c r="D6" s="45"/>
      <c r="E6" s="97"/>
      <c r="F6" s="44"/>
      <c r="G6" s="45"/>
      <c r="H6" s="45"/>
      <c r="I6" s="100"/>
      <c r="J6" s="97"/>
      <c r="K6" s="93"/>
      <c r="L6" s="98"/>
      <c r="M6" s="99"/>
      <c r="N6" s="100"/>
      <c r="O6" s="97"/>
      <c r="P6" s="93"/>
    </row>
    <row r="7" spans="2:16">
      <c r="B7" s="44"/>
      <c r="C7" s="117" t="s">
        <v>176</v>
      </c>
      <c r="D7" s="117"/>
      <c r="E7" s="97"/>
      <c r="F7" s="44"/>
      <c r="G7" s="117" t="s">
        <v>176</v>
      </c>
      <c r="H7" s="117"/>
      <c r="I7" s="100"/>
      <c r="J7" s="97"/>
      <c r="K7" s="93"/>
      <c r="L7" s="98"/>
      <c r="M7" s="99"/>
      <c r="N7" s="100"/>
      <c r="O7" s="97"/>
      <c r="P7" s="93"/>
    </row>
    <row r="8" spans="2:16">
      <c r="B8" s="44"/>
      <c r="C8" s="117"/>
      <c r="D8" s="117"/>
      <c r="E8" s="97"/>
      <c r="F8" s="44"/>
      <c r="G8" s="117"/>
      <c r="H8" s="117"/>
      <c r="I8" s="98"/>
      <c r="J8" s="97"/>
      <c r="K8" s="93"/>
      <c r="L8" s="98"/>
      <c r="M8" s="99"/>
      <c r="N8" s="98"/>
      <c r="O8" s="97"/>
      <c r="P8" s="93"/>
    </row>
    <row r="9" spans="2:16">
      <c r="B9" s="44"/>
      <c r="C9" s="45"/>
      <c r="D9" s="44"/>
      <c r="E9" s="97"/>
      <c r="F9" s="93"/>
      <c r="G9" s="98"/>
      <c r="H9" s="99"/>
      <c r="I9" s="98"/>
      <c r="J9" s="97"/>
      <c r="K9" s="93"/>
      <c r="L9" s="98"/>
      <c r="M9" s="99"/>
      <c r="N9" s="98"/>
      <c r="O9" s="97"/>
      <c r="P9" s="93"/>
    </row>
    <row r="10" spans="2:16"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</row>
    <row r="11" spans="2:16">
      <c r="D11" s="44"/>
      <c r="E11" s="93"/>
      <c r="F11" s="93"/>
      <c r="G11" s="93"/>
      <c r="H11" s="93"/>
      <c r="I11" s="98"/>
      <c r="J11" s="93"/>
      <c r="K11" s="93"/>
      <c r="L11" s="93"/>
      <c r="M11" s="93"/>
      <c r="N11" s="98"/>
      <c r="O11" s="93"/>
      <c r="P11" s="93"/>
    </row>
    <row r="12" spans="2:16">
      <c r="D12" s="44"/>
      <c r="E12" s="93"/>
      <c r="F12" s="93"/>
      <c r="G12" s="93"/>
      <c r="H12" s="93"/>
      <c r="I12" s="98"/>
      <c r="J12" s="93"/>
      <c r="K12" s="93"/>
      <c r="L12" s="93"/>
      <c r="M12" s="93"/>
      <c r="N12" s="98"/>
      <c r="O12" s="93"/>
      <c r="P12" s="93"/>
    </row>
    <row r="13" spans="2:16"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2:16"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</row>
    <row r="15" spans="2:16">
      <c r="C15" s="48"/>
      <c r="D15" s="50"/>
      <c r="E15" s="93"/>
      <c r="F15" s="93"/>
      <c r="G15" s="93"/>
      <c r="H15" s="101"/>
      <c r="I15" s="50"/>
      <c r="J15" s="93"/>
      <c r="K15" s="93"/>
      <c r="L15" s="93"/>
      <c r="M15" s="101"/>
      <c r="N15" s="50"/>
      <c r="O15" s="93"/>
      <c r="P15" s="93"/>
    </row>
    <row r="16" spans="2:16">
      <c r="C16" s="45"/>
      <c r="D16" s="45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</row>
    <row r="17" spans="5:16"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</row>
    <row r="18" spans="5:16"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</row>
    <row r="19" spans="5:16"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</row>
  </sheetData>
  <mergeCells count="4">
    <mergeCell ref="C7:D8"/>
    <mergeCell ref="B2:D2"/>
    <mergeCell ref="F2:H2"/>
    <mergeCell ref="G7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FRDPARRC</vt:lpstr>
      <vt:lpstr>A- ANALYSIS</vt:lpstr>
      <vt:lpstr>A-2 ANTIBACKLASH</vt:lpstr>
      <vt:lpstr>B- DRIVING TORQUE AND STIFFNESS</vt:lpstr>
      <vt:lpstr>C - ERROR MEASUREMENTS LastWeek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sahils</dc:creator>
  <cp:lastModifiedBy>Victor PROST</cp:lastModifiedBy>
  <cp:lastPrinted>2018-02-16T18:10:56Z</cp:lastPrinted>
  <dcterms:created xsi:type="dcterms:W3CDTF">2018-02-15T00:30:26Z</dcterms:created>
  <dcterms:modified xsi:type="dcterms:W3CDTF">2018-04-15T02:01:21Z</dcterms:modified>
</cp:coreProperties>
</file>