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victo\Dropbox (MIT)\00 Personal Files\06 MIT\02 Classes\08 Spring 2018\2.77 Fundamentals\02 Homework\Week7\LMS\"/>
    </mc:Choice>
  </mc:AlternateContent>
  <xr:revisionPtr revIDLastSave="0" documentId="13_ncr:1_{000A94EC-EF38-4D16-A5F4-2A691852D2C0}" xr6:coauthVersionLast="32" xr6:coauthVersionMax="32" xr10:uidLastSave="{00000000-0000-0000-0000-000000000000}"/>
  <bookViews>
    <workbookView xWindow="0" yWindow="0" windowWidth="18762" windowHeight="8808" xr2:uid="{00000000-000D-0000-FFFF-FFFF00000000}"/>
  </bookViews>
  <sheets>
    <sheet name="FRDPARRC" sheetId="4" r:id="rId1"/>
    <sheet name="A- CONCEPT1 ANALYSIS" sheetId="5" r:id="rId2"/>
    <sheet name="B-WEAR-REPEATABILITY" sheetId="11" r:id="rId3"/>
    <sheet name="C- LINEAR STIFFNESS EXPERIMENTS" sheetId="12" r:id="rId4"/>
    <sheet name="D-ANGULAR STIFFNESS EXPERIMENTS" sheetId="13" r:id="rId5"/>
    <sheet name="E-ACCURACY" sheetId="14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1" l="1"/>
  <c r="K52" i="5"/>
  <c r="K51" i="5"/>
  <c r="G53" i="5"/>
  <c r="G52" i="5"/>
  <c r="K14" i="5"/>
  <c r="K5" i="5"/>
  <c r="C15" i="5"/>
  <c r="G11" i="5"/>
  <c r="G10" i="5"/>
  <c r="G25" i="5"/>
  <c r="C34" i="5"/>
  <c r="F30" i="4"/>
  <c r="F29" i="4"/>
  <c r="F28" i="4"/>
  <c r="C51" i="5"/>
  <c r="G55" i="5"/>
  <c r="G56" i="5"/>
  <c r="G57" i="5"/>
  <c r="K6" i="14"/>
  <c r="F6" i="14"/>
  <c r="C6" i="14"/>
  <c r="C21" i="5"/>
  <c r="C22" i="5"/>
  <c r="C36" i="5"/>
  <c r="C41" i="5"/>
  <c r="G41" i="5"/>
  <c r="G40" i="5"/>
  <c r="C39" i="5"/>
  <c r="G38" i="5"/>
  <c r="C40" i="5"/>
  <c r="G39" i="5"/>
  <c r="G36" i="5"/>
  <c r="C37" i="5"/>
  <c r="G34" i="5"/>
  <c r="G35" i="5"/>
  <c r="K37" i="5"/>
  <c r="K38" i="5"/>
  <c r="K46" i="5"/>
  <c r="D33" i="4"/>
  <c r="K35" i="5"/>
  <c r="K36" i="5"/>
  <c r="K45" i="5"/>
  <c r="D32" i="4"/>
  <c r="D29" i="4"/>
  <c r="K53" i="5"/>
  <c r="D30" i="4"/>
  <c r="D28" i="4"/>
  <c r="K34" i="5"/>
  <c r="K44" i="5"/>
  <c r="D31" i="4"/>
  <c r="N15" i="13"/>
  <c r="F22" i="4"/>
  <c r="I15" i="13"/>
  <c r="F21" i="4"/>
  <c r="D15" i="13"/>
  <c r="B6" i="13"/>
  <c r="B7" i="13"/>
  <c r="B8" i="13"/>
  <c r="B9" i="13"/>
  <c r="C9" i="13"/>
  <c r="C8" i="13"/>
  <c r="C7" i="13"/>
  <c r="C6" i="13"/>
  <c r="C5" i="13"/>
  <c r="C4" i="13"/>
  <c r="L6" i="13"/>
  <c r="L7" i="13"/>
  <c r="L8" i="13"/>
  <c r="L9" i="13"/>
  <c r="M9" i="13"/>
  <c r="M8" i="13"/>
  <c r="M7" i="13"/>
  <c r="M6" i="13"/>
  <c r="M5" i="13"/>
  <c r="M4" i="13"/>
  <c r="H4" i="13"/>
  <c r="G6" i="13"/>
  <c r="H6" i="13"/>
  <c r="G7" i="13"/>
  <c r="H7" i="13"/>
  <c r="G8" i="13"/>
  <c r="H8" i="13"/>
  <c r="G9" i="13"/>
  <c r="H9" i="13"/>
  <c r="H5" i="13"/>
  <c r="O9" i="13"/>
  <c r="O8" i="13"/>
  <c r="O7" i="13"/>
  <c r="O6" i="13"/>
  <c r="O5" i="13"/>
  <c r="O4" i="13"/>
  <c r="J9" i="13"/>
  <c r="J8" i="13"/>
  <c r="J7" i="13"/>
  <c r="J6" i="13"/>
  <c r="J5" i="13"/>
  <c r="J4" i="13"/>
  <c r="F20" i="4"/>
  <c r="E4" i="13"/>
  <c r="E5" i="13"/>
  <c r="E6" i="13"/>
  <c r="E7" i="13"/>
  <c r="E8" i="13"/>
  <c r="E9" i="13"/>
  <c r="J5" i="12"/>
  <c r="K5" i="12"/>
  <c r="J4" i="12"/>
  <c r="K4" i="12"/>
  <c r="J7" i="12"/>
  <c r="F17" i="4"/>
  <c r="B5" i="12"/>
  <c r="D5" i="12"/>
  <c r="E5" i="12"/>
  <c r="B4" i="12"/>
  <c r="D4" i="12"/>
  <c r="E4" i="12"/>
  <c r="D7" i="12"/>
  <c r="F18" i="4"/>
  <c r="C41" i="11"/>
  <c r="C40" i="11"/>
  <c r="C10" i="11"/>
  <c r="C8" i="11"/>
  <c r="C9" i="11"/>
  <c r="D16" i="4"/>
  <c r="D20" i="4"/>
  <c r="C16" i="11"/>
  <c r="C19" i="11"/>
  <c r="C24" i="11"/>
  <c r="C28" i="11"/>
  <c r="C33" i="11"/>
  <c r="D26" i="4"/>
  <c r="C23" i="11"/>
  <c r="C32" i="11"/>
  <c r="D25" i="4"/>
  <c r="D35" i="4"/>
  <c r="C27" i="11"/>
  <c r="C26" i="11"/>
  <c r="C31" i="11"/>
  <c r="D24" i="4"/>
  <c r="G6" i="5"/>
  <c r="G24" i="5"/>
  <c r="C35" i="5"/>
  <c r="K7" i="5"/>
  <c r="G67" i="5"/>
  <c r="G66" i="5"/>
  <c r="K62" i="5"/>
  <c r="K42" i="5"/>
  <c r="K41" i="5"/>
  <c r="K40" i="5"/>
  <c r="G26" i="5"/>
  <c r="K25" i="5"/>
  <c r="G64" i="5"/>
  <c r="G68" i="5"/>
  <c r="G63" i="5"/>
  <c r="K63" i="5"/>
  <c r="K64" i="5"/>
  <c r="D21" i="4"/>
  <c r="D22" i="4"/>
  <c r="D18" i="4"/>
  <c r="D17" i="4"/>
  <c r="C43" i="11"/>
  <c r="K9" i="5"/>
  <c r="G17" i="5"/>
  <c r="C1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PROST</author>
  </authors>
  <commentList>
    <comment ref="F31" authorId="0" shapeId="0" xr:uid="{F0E03DC3-6633-44B9-9C05-0AD755981CE7}">
      <text>
        <r>
          <rPr>
            <b/>
            <sz val="9"/>
            <color indexed="81"/>
            <rFont val="Tahoma"/>
            <family val="2"/>
          </rPr>
          <t>Victor PROST:</t>
        </r>
        <r>
          <rPr>
            <sz val="9"/>
            <color indexed="81"/>
            <rFont val="Tahoma"/>
            <family val="2"/>
          </rPr>
          <t xml:space="preserve">
Calculated from measured stiffness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PROST</author>
  </authors>
  <commentList>
    <comment ref="F25" authorId="0" shapeId="0" xr:uid="{4C200771-6B97-4858-B056-7420E7FA7DD4}">
      <text>
        <r>
          <rPr>
            <b/>
            <sz val="9"/>
            <color indexed="81"/>
            <rFont val="Tahoma"/>
            <family val="2"/>
          </rPr>
          <t>Victor PROST:</t>
        </r>
        <r>
          <rPr>
            <sz val="9"/>
            <color indexed="81"/>
            <rFont val="Tahoma"/>
            <family val="2"/>
          </rPr>
          <t xml:space="preserve">
From Mcmaster</t>
        </r>
      </text>
    </comment>
  </commentList>
</comments>
</file>

<file path=xl/sharedStrings.xml><?xml version="1.0" encoding="utf-8"?>
<sst xmlns="http://schemas.openxmlformats.org/spreadsheetml/2006/main" count="499" uniqueCount="252">
  <si>
    <t>kg/m3</t>
  </si>
  <si>
    <t>mm</t>
  </si>
  <si>
    <t>MPa</t>
  </si>
  <si>
    <t>Target</t>
  </si>
  <si>
    <t>Design Parameters</t>
  </si>
  <si>
    <t>Analysis</t>
  </si>
  <si>
    <t>Predicted</t>
  </si>
  <si>
    <t>Density</t>
  </si>
  <si>
    <t>Modulus of Elasticity</t>
  </si>
  <si>
    <t>Yield Strength</t>
  </si>
  <si>
    <t>GPa</t>
  </si>
  <si>
    <t>Risks</t>
  </si>
  <si>
    <t>CMs</t>
  </si>
  <si>
    <t>Aluminum</t>
  </si>
  <si>
    <t>Poisson's Ratio</t>
  </si>
  <si>
    <t>SUMMARY</t>
  </si>
  <si>
    <t>References</t>
  </si>
  <si>
    <t>deg</t>
  </si>
  <si>
    <t>mm^2</t>
  </si>
  <si>
    <t>Functional Requirements (see FRDPARRC picture below table):</t>
  </si>
  <si>
    <t>LINEAR MOTION SLIDE</t>
  </si>
  <si>
    <t>Written by Victor Prost 03/08/18</t>
  </si>
  <si>
    <t>Linear Motion Slide for a T-base Lathe</t>
  </si>
  <si>
    <t>Rail Length</t>
  </si>
  <si>
    <t>Vertical Stiffness Kz</t>
  </si>
  <si>
    <t>Yaw Stiffness (about Z) K_yaw</t>
  </si>
  <si>
    <t>Nm/mrad</t>
  </si>
  <si>
    <t>Pitch Stiffness (about Y) K_pitch</t>
  </si>
  <si>
    <t>TOOL LOADS</t>
  </si>
  <si>
    <t>MMR:</t>
  </si>
  <si>
    <t>Cutting Force (Fz), [N]</t>
  </si>
  <si>
    <t>Thrust Force (Fx), [N]</t>
  </si>
  <si>
    <t>Radial Force (Fy), [N]</t>
  </si>
  <si>
    <t>Roughing:</t>
  </si>
  <si>
    <t>Finishing:</t>
  </si>
  <si>
    <t>Roll Stiffness (about X) K_roll</t>
  </si>
  <si>
    <t>Pressure on bearing surfaces</t>
  </si>
  <si>
    <t>Linear slide average speed</t>
  </si>
  <si>
    <t>Time during sliding</t>
  </si>
  <si>
    <t>Specific wear rate</t>
  </si>
  <si>
    <t>Worn dimension</t>
  </si>
  <si>
    <t>mm/s</t>
  </si>
  <si>
    <t>s</t>
  </si>
  <si>
    <t>mm^3/(Nmm)</t>
  </si>
  <si>
    <t>Worn dimension per km of travel</t>
  </si>
  <si>
    <t>Max bearing temperature</t>
  </si>
  <si>
    <t>Ambient temperature</t>
  </si>
  <si>
    <t>Bearing thickness</t>
  </si>
  <si>
    <t>Friction coefficient</t>
  </si>
  <si>
    <t>MPa*mm/s</t>
  </si>
  <si>
    <t>Bearing Contact area</t>
  </si>
  <si>
    <t>N</t>
  </si>
  <si>
    <t xml:space="preserve">Distance traveled </t>
  </si>
  <si>
    <t>nm</t>
  </si>
  <si>
    <t>um/km</t>
  </si>
  <si>
    <t>WEAR EQUATION</t>
  </si>
  <si>
    <t>PV</t>
  </si>
  <si>
    <t>PVmax</t>
  </si>
  <si>
    <t>PV VALUE CALCULATION</t>
  </si>
  <si>
    <t>CARRIAGE GEOMETRY</t>
  </si>
  <si>
    <t>RAIL GEOMETRY</t>
  </si>
  <si>
    <t>Carriage Width</t>
  </si>
  <si>
    <t>Carriage Platform Thickness</t>
  </si>
  <si>
    <t>Carriage Dovetail Arms Height</t>
  </si>
  <si>
    <t>Dovetail angle</t>
  </si>
  <si>
    <t>Carriage Length</t>
  </si>
  <si>
    <t>Rail Height</t>
  </si>
  <si>
    <t>Rail Width Base</t>
  </si>
  <si>
    <t>Carriage Dovetail Arms Width Base</t>
  </si>
  <si>
    <t>STIFFNESS ANALYSIS</t>
  </si>
  <si>
    <t>Shear Modulus</t>
  </si>
  <si>
    <t>N/um</t>
  </si>
  <si>
    <t>Gib Width</t>
  </si>
  <si>
    <t>Gib Length</t>
  </si>
  <si>
    <t>Gib Thickness</t>
  </si>
  <si>
    <t xml:space="preserve">CONCEPT 1 - DOVETAIL LMS  </t>
  </si>
  <si>
    <t>TOOL LOCATION</t>
  </si>
  <si>
    <t>Deflection in Y</t>
  </si>
  <si>
    <t>Delfection in Z</t>
  </si>
  <si>
    <t>Deflection in X</t>
  </si>
  <si>
    <t>um</t>
  </si>
  <si>
    <t>-</t>
  </si>
  <si>
    <t>Deflection in X (leadscrew stiffness)</t>
  </si>
  <si>
    <t>Yaw angular deflection (about Z)</t>
  </si>
  <si>
    <t>Pitch angular deflection (about Y)</t>
  </si>
  <si>
    <t>Roll angular deflection (about X)</t>
  </si>
  <si>
    <t>mrad</t>
  </si>
  <si>
    <t>micro-rad</t>
  </si>
  <si>
    <t>GEOMETRIC ERROR (WOBBLING/RATTLING)</t>
  </si>
  <si>
    <t>Dovetail Rail/Carriage Gap</t>
  </si>
  <si>
    <t>Deflection in X (leadscrew backlash)</t>
  </si>
  <si>
    <t>TOOL DEFLECTION (HTM) FROM CUT LOADS</t>
  </si>
  <si>
    <t>TOOL TIP ERRORS (HTM)</t>
  </si>
  <si>
    <t>CARRIAGE DEFLECTION UNDER ROUGHING CUTTING LOADS</t>
  </si>
  <si>
    <t>THESE GEOMETRIC ERRORS ONLY HAPPEN IF THE SYSTEM IS NOT PROPERLY PRELOADED</t>
  </si>
  <si>
    <t>- Travel Range of 100mm</t>
  </si>
  <si>
    <t>- Straighness of 0.1deg over a 20mm cut</t>
  </si>
  <si>
    <t>- Not fail under cutting loads</t>
  </si>
  <si>
    <t>See Tab A Concept 1 Analysis for list of design parameters</t>
  </si>
  <si>
    <t xml:space="preserve"> RAIL MATERIAL PROPERTIES (ALUMINUM)</t>
  </si>
  <si>
    <t>DESIGN PARAMETERS</t>
  </si>
  <si>
    <t>Lateral Stiffness Ky [N/um]</t>
  </si>
  <si>
    <t>Vertical Stiffness Kz [N/um]</t>
  </si>
  <si>
    <t>Yaw Stiffness (about Z) K_yaw [Nm/mrad]</t>
  </si>
  <si>
    <t>Roll Stiffness (about X) K_roll [Nm/mrad]</t>
  </si>
  <si>
    <t>Pitch Stiffness (about Y) K_pitch [Nm/mrad]</t>
  </si>
  <si>
    <t>-Fundamentals Topic 8 (Structures)
-Fundamentals Topic 10 (Bearings)
- Shigley Machine Design Textbook
- Kalpakjian Menufacturing Engineering Textbook (Cutting Loads)
- Mechanics of Materials Textbook (Wear equation)</t>
  </si>
  <si>
    <t>CONCEPT 1 - DOVETAIL</t>
  </si>
  <si>
    <t>Gib material</t>
  </si>
  <si>
    <t>Delrin</t>
  </si>
  <si>
    <t>[-]</t>
  </si>
  <si>
    <t>Rail material</t>
  </si>
  <si>
    <t>Max Vertical Load</t>
  </si>
  <si>
    <t>Conductivity</t>
  </si>
  <si>
    <t>ceramic</t>
  </si>
  <si>
    <t>cast iron</t>
  </si>
  <si>
    <t>steel</t>
  </si>
  <si>
    <t>aluminum</t>
  </si>
  <si>
    <t>303 ss</t>
  </si>
  <si>
    <t>plastic</t>
  </si>
  <si>
    <t>W/mK</t>
  </si>
  <si>
    <t>Aluminum conductivity coeff</t>
  </si>
  <si>
    <t>C</t>
  </si>
  <si>
    <t>GEOMETRIC ERROR (WOBBLING/RATTLING) FROM WEAR</t>
  </si>
  <si>
    <t>CARRIAGE GEOMETRIC ERRORS FROM WEAR - 1km travel</t>
  </si>
  <si>
    <t>TOOL TIP ERRORS (HTM) WEAR - 1km travel</t>
  </si>
  <si>
    <t>Concept 1 - DOVETAIL</t>
  </si>
  <si>
    <t>- Repeatability of 10um</t>
  </si>
  <si>
    <t>This concept can bear very large loads and will lead to a very precise motion but the manufacturing of the rails and carriage will require very tight tolerancing</t>
  </si>
  <si>
    <t>SCHEMATIC OF THE FRDPARRC IN THE NOTEBOOK</t>
  </si>
  <si>
    <t>STIFFNESS CALCULATIONS</t>
  </si>
  <si>
    <t>ERROR GAIN TO TOOL TIP (HTM)</t>
  </si>
  <si>
    <t>-  Small torque to drive the LMS (&lt;500Nmm)</t>
  </si>
  <si>
    <t>Tool Offset (Y-direction)</t>
  </si>
  <si>
    <t>Tool Height (Z-direction)</t>
  </si>
  <si>
    <t>DOVETAIL PRELOAD SIDE GIB GEOMETRY</t>
  </si>
  <si>
    <t xml:space="preserve"> CARRIAGE MATERIAL PROPERTIES ALUMINUM</t>
  </si>
  <si>
    <t>GIB MATERIAL PROPERTIES (BRASS)</t>
  </si>
  <si>
    <t>PRELOAD BELLEVILLE WASHERS</t>
  </si>
  <si>
    <t>Number of springs along the gib</t>
  </si>
  <si>
    <t>Belleville washer stiffness</t>
  </si>
  <si>
    <t>N/mm</t>
  </si>
  <si>
    <t>Lateral Stiffness Ky (when preloaded)</t>
  </si>
  <si>
    <t>Lateral Stiffness Ky (preload)</t>
  </si>
  <si>
    <t>TEFLON BEARING PADS</t>
  </si>
  <si>
    <t>Bearing Pad Thickness</t>
  </si>
  <si>
    <t>DOVETAIL TOOL SIDE GIB GEOMETRY</t>
  </si>
  <si>
    <t>LEADSCREW GEOMETRY</t>
  </si>
  <si>
    <t>Leadscrew Length</t>
  </si>
  <si>
    <t>Leadscrew Diameter</t>
  </si>
  <si>
    <t>Preload amount</t>
  </si>
  <si>
    <t>BEARING PADS MATERIAL PROPERTIES (TEFLON)</t>
  </si>
  <si>
    <t>Leadscrew Axial Stiffness Kx</t>
  </si>
  <si>
    <t xml:space="preserve"> LEADSCREW MATERIAL PROPERTIES (STEEL)</t>
  </si>
  <si>
    <t>LOAD ANALYSIS</t>
  </si>
  <si>
    <t>Yaw angular deflection (about Z) - From Fx</t>
  </si>
  <si>
    <t>Pitch angular deflection (about Y) - From Fx</t>
  </si>
  <si>
    <t>Roll angular deflection (about X) - From Fy</t>
  </si>
  <si>
    <t>Roll angular deflection (about X) - From Fz</t>
  </si>
  <si>
    <t>Deflection in X - From Fx</t>
  </si>
  <si>
    <t>Deflection in Y - From Fy</t>
  </si>
  <si>
    <t>Deflection in Y - From Fz</t>
  </si>
  <si>
    <t>Delfection in Z - From Fy</t>
  </si>
  <si>
    <t>Delfection in Z - From Fz</t>
  </si>
  <si>
    <t>Total Expected Deflection in X</t>
  </si>
  <si>
    <t>Total Expected Deflection in Y</t>
  </si>
  <si>
    <t>Total Expected Deflection in Z</t>
  </si>
  <si>
    <t>Total Deflection in X</t>
  </si>
  <si>
    <t>Total Deflection in Y</t>
  </si>
  <si>
    <t>Total Deflection in Z</t>
  </si>
  <si>
    <t>MANUFACTURING TOLERANCES</t>
  </si>
  <si>
    <t>RAIL GEOMETRIC ERRORS</t>
  </si>
  <si>
    <t>CARRIAGE ERRORS WOBBLING/RATTLING)</t>
  </si>
  <si>
    <t xml:space="preserve">Deflection in X </t>
  </si>
  <si>
    <r>
      <t xml:space="preserve">Roll due to Flatness </t>
    </r>
    <r>
      <rPr>
        <sz val="10"/>
        <color theme="1"/>
        <rFont val="Calibri"/>
        <family val="2"/>
      </rPr>
      <t>θx</t>
    </r>
    <r>
      <rPr>
        <vertAlign val="subscript"/>
        <sz val="10"/>
        <color theme="1"/>
        <rFont val="Arial"/>
        <family val="2"/>
      </rPr>
      <t xml:space="preserve">  </t>
    </r>
  </si>
  <si>
    <r>
      <t xml:space="preserve">Yaw due to Flatness </t>
    </r>
    <r>
      <rPr>
        <sz val="10"/>
        <color theme="1"/>
        <rFont val="Calibri"/>
        <family val="2"/>
      </rPr>
      <t>θz</t>
    </r>
  </si>
  <si>
    <r>
      <t xml:space="preserve">Pitch due to Flatness, </t>
    </r>
    <r>
      <rPr>
        <sz val="10"/>
        <color theme="1"/>
        <rFont val="Calibri"/>
        <family val="2"/>
      </rPr>
      <t>θy</t>
    </r>
  </si>
  <si>
    <t>Rail Flatness + Surface Finish</t>
  </si>
  <si>
    <t>Total Expected Delfection in Z</t>
  </si>
  <si>
    <t>THESE RANDOM GEOMETRIC ERRORS ARE WORST CASE SCENARIOS</t>
  </si>
  <si>
    <t>ERROR ANALYSIS CLEARANCES</t>
  </si>
  <si>
    <t>ERROR ANALYSIS MANUFAC</t>
  </si>
  <si>
    <t>GEOMETRIC ERRORS ANALYSIS</t>
  </si>
  <si>
    <t>Rail Total Width</t>
  </si>
  <si>
    <t>Friction Coeff (with aluminum)</t>
  </si>
  <si>
    <t xml:space="preserve">BASED ON THE ANALYSIS ON TAB A </t>
  </si>
  <si>
    <t>-High Stiffness of the carriage might increase the friction for any flatness errors on the rail or carriage if preload mechanism doesn't work properly. 
- Preload overcome by high loads</t>
  </si>
  <si>
    <t>-High tolerance on machining, switch to more compliant preload, gibs and carriage materials
- Increase amount of preload</t>
  </si>
  <si>
    <t xml:space="preserve">Y - Repeatability at Tool Tip [um] </t>
  </si>
  <si>
    <t xml:space="preserve">Z - Repeatabilityat Tool Tip  [um] </t>
  </si>
  <si>
    <t>X - Repeatability at Tool Tip [um]</t>
  </si>
  <si>
    <t>Range of Motion</t>
  </si>
  <si>
    <t>Measured</t>
  </si>
  <si>
    <t>Notes</t>
  </si>
  <si>
    <t>Repeatability errors assumed to be related to 50% variation in cutting load forces and wear</t>
  </si>
  <si>
    <t>Lateral Stiffness Kx [N/um] (leadscrew)</t>
  </si>
  <si>
    <t>Teflon conductivity coeff</t>
  </si>
  <si>
    <t>Bearing Pad Diameter</t>
  </si>
  <si>
    <t>Bearing Pad Area</t>
  </si>
  <si>
    <t>&gt;4</t>
  </si>
  <si>
    <t>&gt;5</t>
  </si>
  <si>
    <t>&lt;10</t>
  </si>
  <si>
    <t>&gt;100</t>
  </si>
  <si>
    <t>- Facing operations with a flatness of 100um</t>
  </si>
  <si>
    <t>&lt;30</t>
  </si>
  <si>
    <t>Z-AXIS       LOAD- DISPLACEMENT // STIFFNESS MEASUREMENT</t>
  </si>
  <si>
    <t>Displacement (") ± 0.0002</t>
  </si>
  <si>
    <t>Displacement (um) ± 0.00002</t>
  </si>
  <si>
    <t>Stiffness [N/um]</t>
  </si>
  <si>
    <t>Load (kg)</t>
  </si>
  <si>
    <t>± [N/um]</t>
  </si>
  <si>
    <t>Y-AXIS       LOAD- DISPLACEMENT // STIFFNESS MEASUREMENT</t>
  </si>
  <si>
    <t>NA</t>
  </si>
  <si>
    <t>YAW -AXIS       LOAD- DISPLACEMENT // STIFFNESS MEASUREMENT</t>
  </si>
  <si>
    <t>Displacement (mm) ± 0.5</t>
  </si>
  <si>
    <t>Moment (Nm)</t>
  </si>
  <si>
    <t>Moment Arm (m)</t>
  </si>
  <si>
    <t>Laser-Wall Distance (m)</t>
  </si>
  <si>
    <t>Angular deflec (mrad) ± 0.03</t>
  </si>
  <si>
    <t>Stiffness [N/mrad]</t>
  </si>
  <si>
    <t>ROLL -AXIS       LOAD- DISPLACEMENT // STIFFNESS MEASUREMENT</t>
  </si>
  <si>
    <t>PITCH -AXIS       LOAD- DISPLACEMENT // STIFFNESS MEASUREMENT</t>
  </si>
  <si>
    <t>&gt;1</t>
  </si>
  <si>
    <t>X - Accuracy at Tool Tip [um] (Load induced)</t>
  </si>
  <si>
    <t>Y - Accuracy at Tool Tip [um] (Load induced)</t>
  </si>
  <si>
    <t>Z - Accuracy at Tool Tip  [um] (Load induced)</t>
  </si>
  <si>
    <t>X - Accuracy at Tool Tip [um] (Geometric)</t>
  </si>
  <si>
    <t>Y - Accuracy at Tool Tip [um] (Geometric)</t>
  </si>
  <si>
    <t>Z - Accuracy at Tool Tip  [um] (Geometric)</t>
  </si>
  <si>
    <t>&lt;90</t>
  </si>
  <si>
    <t>Accuracy is affected by geometry and load-induced errors (calculated for finishing pass)</t>
  </si>
  <si>
    <t>Laser Pointer Scatter [mm]</t>
  </si>
  <si>
    <t>Distance from measuring sheet [m]</t>
  </si>
  <si>
    <t xml:space="preserve"> YAW - ACCURACY </t>
  </si>
  <si>
    <t xml:space="preserve"> PITCH - ACCURACY </t>
  </si>
  <si>
    <t xml:space="preserve">ROLL - ACCURACY </t>
  </si>
  <si>
    <t>For Yaw and Pitch, the carriage was moved front and back</t>
  </si>
  <si>
    <t>For Roll, the carriage was moved side to side</t>
  </si>
  <si>
    <t>Yaw Geometric Error [mrad]</t>
  </si>
  <si>
    <t>Pitch Geometric Error [mrad]</t>
  </si>
  <si>
    <t>Roll Geometric Error [mrad]</t>
  </si>
  <si>
    <t>X-axis Tool Tip Associated Error [um]</t>
  </si>
  <si>
    <t>Y and Z axis Tool Tip Associated Error [um]</t>
  </si>
  <si>
    <t>Thrust Stiffness Kx (leadscrew)</t>
  </si>
  <si>
    <t>Radial Stiffness Ky</t>
  </si>
  <si>
    <t>Cut Stiffness Kz</t>
  </si>
  <si>
    <t xml:space="preserve">Yaw Stiffness </t>
  </si>
  <si>
    <t>Pitch Stiffness</t>
  </si>
  <si>
    <t xml:space="preserve">Roll Stiffness </t>
  </si>
  <si>
    <t>Desired Stiffness</t>
  </si>
  <si>
    <t>&lt;20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</si>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</sst>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0.0"/>
    <numFmt numFmtId="166" formatCode="0.0E+00"/>
    <numFmt numFmtId="167" formatCode="0.00000"/>
    <numFmt numFmtId="168" formatCode="0.0000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8"/>
      <color theme="0" tint="-0.499984740745262"/>
      <name val="Arial"/>
      <family val="2"/>
    </font>
    <font>
      <b/>
      <sz val="11"/>
      <color rgb="FFFF0000"/>
      <name val="Arial"/>
      <family val="2"/>
    </font>
    <font>
      <vertAlign val="subscript"/>
      <sz val="10"/>
      <color theme="1"/>
      <name val="Arial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Geneva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1" fontId="1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4" fillId="0" borderId="5" xfId="0" applyFont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0" borderId="11" xfId="0" applyFont="1" applyBorder="1"/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 textRotation="90"/>
    </xf>
    <xf numFmtId="0" fontId="3" fillId="0" borderId="0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 applyBorder="1"/>
    <xf numFmtId="15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textRotation="90" wrapText="1"/>
    </xf>
    <xf numFmtId="0" fontId="3" fillId="0" borderId="0" xfId="0" applyFont="1" applyBorder="1" applyAlignment="1">
      <alignment wrapText="1"/>
    </xf>
    <xf numFmtId="0" fontId="3" fillId="2" borderId="1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/>
    <xf numFmtId="0" fontId="9" fillId="0" borderId="0" xfId="0" applyFont="1" applyFill="1" applyBorder="1" applyAlignment="1"/>
    <xf numFmtId="0" fontId="1" fillId="0" borderId="0" xfId="0" applyFont="1" applyFill="1"/>
    <xf numFmtId="1" fontId="1" fillId="0" borderId="0" xfId="0" applyNumberFormat="1" applyFont="1" applyAlignment="1">
      <alignment horizontal="right" wrapText="1"/>
    </xf>
    <xf numFmtId="0" fontId="2" fillId="0" borderId="0" xfId="0" applyFont="1" applyFill="1" applyAlignment="1"/>
    <xf numFmtId="0" fontId="2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1" fontId="1" fillId="0" borderId="0" xfId="0" applyNumberFormat="1" applyFont="1"/>
    <xf numFmtId="166" fontId="1" fillId="0" borderId="0" xfId="0" applyNumberFormat="1" applyFont="1"/>
    <xf numFmtId="43" fontId="1" fillId="0" borderId="0" xfId="1" applyNumberFormat="1" applyFont="1"/>
    <xf numFmtId="2" fontId="1" fillId="0" borderId="0" xfId="0" applyNumberFormat="1" applyFont="1" applyFill="1"/>
    <xf numFmtId="0" fontId="1" fillId="5" borderId="0" xfId="0" applyFont="1" applyFill="1"/>
    <xf numFmtId="164" fontId="1" fillId="5" borderId="0" xfId="0" applyNumberFormat="1" applyFont="1" applyFill="1"/>
    <xf numFmtId="0" fontId="4" fillId="0" borderId="0" xfId="0" applyFont="1" applyAlignment="1"/>
    <xf numFmtId="0" fontId="3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center" textRotation="90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 applyFill="1" applyBorder="1" applyAlignment="1"/>
    <xf numFmtId="0" fontId="10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2" xfId="0" quotePrefix="1" applyFont="1" applyBorder="1" applyAlignment="1">
      <alignment horizontal="center" vertical="top" wrapText="1"/>
    </xf>
    <xf numFmtId="0" fontId="3" fillId="0" borderId="1" xfId="0" quotePrefix="1" applyFont="1" applyFill="1" applyBorder="1" applyAlignment="1">
      <alignment vertical="top" wrapText="1"/>
    </xf>
    <xf numFmtId="0" fontId="1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5" fillId="0" borderId="2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15" fontId="7" fillId="0" borderId="0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1" fillId="0" borderId="0" xfId="0" quotePrefix="1" applyNumberFormat="1" applyFont="1"/>
    <xf numFmtId="0" fontId="1" fillId="0" borderId="0" xfId="0" applyFont="1" applyAlignment="1">
      <alignment horizontal="left"/>
    </xf>
    <xf numFmtId="2" fontId="19" fillId="0" borderId="0" xfId="0" applyNumberFormat="1" applyFont="1" applyAlignment="1"/>
    <xf numFmtId="0" fontId="3" fillId="0" borderId="0" xfId="0" applyFont="1" applyBorder="1"/>
    <xf numFmtId="0" fontId="3" fillId="0" borderId="12" xfId="0" applyFont="1" applyBorder="1" applyAlignment="1">
      <alignment vertical="center" wrapText="1"/>
    </xf>
    <xf numFmtId="0" fontId="3" fillId="0" borderId="8" xfId="0" quotePrefix="1" applyFont="1" applyBorder="1" applyAlignment="1">
      <alignment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Border="1"/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20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Fill="1" applyBorder="1" applyAlignment="1">
      <alignment horizontal="center"/>
    </xf>
    <xf numFmtId="165" fontId="3" fillId="6" borderId="9" xfId="0" applyNumberFormat="1" applyFont="1" applyFill="1" applyBorder="1" applyAlignment="1">
      <alignment horizontal="center" vertical="center"/>
    </xf>
    <xf numFmtId="165" fontId="3" fillId="7" borderId="9" xfId="0" applyNumberFormat="1" applyFont="1" applyFill="1" applyBorder="1" applyAlignment="1">
      <alignment horizontal="center" vertical="center"/>
    </xf>
    <xf numFmtId="0" fontId="0" fillId="4" borderId="0" xfId="0" applyFill="1"/>
    <xf numFmtId="165" fontId="0" fillId="0" borderId="0" xfId="0" applyNumberFormat="1" applyFont="1" applyAlignment="1">
      <alignment horizontal="center"/>
    </xf>
    <xf numFmtId="0" fontId="2" fillId="4" borderId="0" xfId="0" applyFont="1" applyFill="1" applyBorder="1" applyAlignment="1"/>
    <xf numFmtId="0" fontId="0" fillId="4" borderId="0" xfId="0" applyFill="1" applyAlignment="1"/>
    <xf numFmtId="1" fontId="0" fillId="0" borderId="0" xfId="0" applyNumberFormat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1" fontId="5" fillId="0" borderId="9" xfId="0" quotePrefix="1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167" fontId="20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4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165" fontId="1" fillId="0" borderId="0" xfId="0" applyNumberFormat="1" applyFont="1" applyFill="1"/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YAW STIFFNESS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4830271216098"/>
                  <c:y val="-4.24722951297754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'D-ANGULAR STIFFNESS EXPERIMENTS'!$E$4:$E$9</c:f>
              <c:numCache>
                <c:formatCode>0.0</c:formatCode>
                <c:ptCount val="6"/>
                <c:pt idx="0">
                  <c:v>0</c:v>
                </c:pt>
                <c:pt idx="1">
                  <c:v>0.32738095238095238</c:v>
                </c:pt>
                <c:pt idx="2">
                  <c:v>0.59523809523809523</c:v>
                </c:pt>
                <c:pt idx="3">
                  <c:v>0.77380952380952372</c:v>
                </c:pt>
                <c:pt idx="4">
                  <c:v>0.92261904761904756</c:v>
                </c:pt>
                <c:pt idx="5">
                  <c:v>1.0714285714285714</c:v>
                </c:pt>
              </c:numCache>
            </c:numRef>
          </c:xVal>
          <c:yVal>
            <c:numRef>
              <c:f>'D-ANGULAR STIFFNESS EXPERIMENTS'!$C$4:$C$9</c:f>
              <c:numCache>
                <c:formatCode>0.0</c:formatCode>
                <c:ptCount val="6"/>
                <c:pt idx="0" formatCode="General">
                  <c:v>0</c:v>
                </c:pt>
                <c:pt idx="1">
                  <c:v>2.9430000000000001</c:v>
                </c:pt>
                <c:pt idx="2">
                  <c:v>5.8860000000000001</c:v>
                </c:pt>
                <c:pt idx="3">
                  <c:v>8.8289999999999988</c:v>
                </c:pt>
                <c:pt idx="4">
                  <c:v>11.772</c:v>
                </c:pt>
                <c:pt idx="5">
                  <c:v>14.715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9A-4AED-BDD9-C519FFF7A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337880"/>
        <c:axId val="850339192"/>
      </c:scatterChart>
      <c:valAx>
        <c:axId val="85033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Angular Deflection</a:t>
                </a:r>
                <a:r>
                  <a:rPr lang="en-US" baseline="0"/>
                  <a:t> (mrad)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339192"/>
        <c:crosses val="autoZero"/>
        <c:crossBetween val="midCat"/>
      </c:valAx>
      <c:valAx>
        <c:axId val="85033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Moment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337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ROLL STIFFNESS</a:t>
            </a:r>
          </a:p>
        </c:rich>
      </c:tx>
      <c:layout>
        <c:manualLayout>
          <c:xMode val="edge"/>
          <c:yMode val="edge"/>
          <c:x val="0.370673447069116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4830271216098"/>
                  <c:y val="-4.24722951297754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'D-ANGULAR STIFFNESS EXPERIMENTS'!$J$4:$J$9</c:f>
              <c:numCache>
                <c:formatCode>0.0</c:formatCode>
                <c:ptCount val="6"/>
                <c:pt idx="0">
                  <c:v>0</c:v>
                </c:pt>
                <c:pt idx="1">
                  <c:v>0.7142857142857143</c:v>
                </c:pt>
                <c:pt idx="2">
                  <c:v>1.3095238095238095</c:v>
                </c:pt>
                <c:pt idx="3">
                  <c:v>1.7261904761904761</c:v>
                </c:pt>
                <c:pt idx="4">
                  <c:v>2.1428571428571428</c:v>
                </c:pt>
                <c:pt idx="5">
                  <c:v>2.5</c:v>
                </c:pt>
              </c:numCache>
            </c:numRef>
          </c:xVal>
          <c:yVal>
            <c:numRef>
              <c:f>'D-ANGULAR STIFFNESS EXPERIMENTS'!$H$4:$H$9</c:f>
              <c:numCache>
                <c:formatCode>0.0</c:formatCode>
                <c:ptCount val="6"/>
                <c:pt idx="0" formatCode="General">
                  <c:v>0</c:v>
                </c:pt>
                <c:pt idx="1">
                  <c:v>2.9430000000000001</c:v>
                </c:pt>
                <c:pt idx="2">
                  <c:v>5.8860000000000001</c:v>
                </c:pt>
                <c:pt idx="3">
                  <c:v>8.8289999999999988</c:v>
                </c:pt>
                <c:pt idx="4">
                  <c:v>11.772</c:v>
                </c:pt>
                <c:pt idx="5">
                  <c:v>14.715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A4-48AE-BE43-8101B7B8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337880"/>
        <c:axId val="850339192"/>
      </c:scatterChart>
      <c:valAx>
        <c:axId val="85033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Angular Deflection</a:t>
                </a:r>
                <a:r>
                  <a:rPr lang="en-US" baseline="0"/>
                  <a:t> (mrad)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339192"/>
        <c:crosses val="autoZero"/>
        <c:crossBetween val="midCat"/>
      </c:valAx>
      <c:valAx>
        <c:axId val="85033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Moment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337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PITCH STIFFNESS</a:t>
            </a:r>
          </a:p>
        </c:rich>
      </c:tx>
      <c:layout>
        <c:manualLayout>
          <c:xMode val="edge"/>
          <c:yMode val="edge"/>
          <c:x val="0.370673447069116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4830271216098"/>
                  <c:y val="-4.24722951297754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'D-ANGULAR STIFFNESS EXPERIMENTS'!$O$4:$O$9</c:f>
              <c:numCache>
                <c:formatCode>0.0</c:formatCode>
                <c:ptCount val="6"/>
                <c:pt idx="0">
                  <c:v>0</c:v>
                </c:pt>
                <c:pt idx="1">
                  <c:v>0.89285714285714279</c:v>
                </c:pt>
                <c:pt idx="2">
                  <c:v>1.7857142857142856</c:v>
                </c:pt>
                <c:pt idx="3">
                  <c:v>2.3809523809523809</c:v>
                </c:pt>
                <c:pt idx="4">
                  <c:v>2.6785714285714284</c:v>
                </c:pt>
                <c:pt idx="5">
                  <c:v>2.9761904761904763</c:v>
                </c:pt>
              </c:numCache>
            </c:numRef>
          </c:xVal>
          <c:yVal>
            <c:numRef>
              <c:f>'D-ANGULAR STIFFNESS EXPERIMENTS'!$M$4:$M$9</c:f>
              <c:numCache>
                <c:formatCode>0.0</c:formatCode>
                <c:ptCount val="6"/>
                <c:pt idx="0" formatCode="General">
                  <c:v>0</c:v>
                </c:pt>
                <c:pt idx="1">
                  <c:v>2.9430000000000001</c:v>
                </c:pt>
                <c:pt idx="2">
                  <c:v>5.8860000000000001</c:v>
                </c:pt>
                <c:pt idx="3">
                  <c:v>8.8289999999999988</c:v>
                </c:pt>
                <c:pt idx="4">
                  <c:v>11.772</c:v>
                </c:pt>
                <c:pt idx="5">
                  <c:v>14.715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ED-4348-828D-EFBFD6C97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337880"/>
        <c:axId val="850339192"/>
      </c:scatterChart>
      <c:valAx>
        <c:axId val="85033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Angular Deflection</a:t>
                </a:r>
                <a:r>
                  <a:rPr lang="en-US" baseline="0"/>
                  <a:t> (mrad)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339192"/>
        <c:crosses val="autoZero"/>
        <c:crossBetween val="midCat"/>
      </c:valAx>
      <c:valAx>
        <c:axId val="85033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Moment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337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2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3" Type="http://schemas.openxmlformats.org/officeDocument/2006/relationships/chart" Target="../charts/chart3.xml"/><Relationship Id="rId7" Type="http://schemas.openxmlformats.org/officeDocument/2006/relationships/image" Target="../media/image18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2.jpeg"/><Relationship Id="rId1" Type="http://schemas.openxmlformats.org/officeDocument/2006/relationships/image" Target="../media/image21.jpeg"/><Relationship Id="rId6" Type="http://schemas.openxmlformats.org/officeDocument/2006/relationships/image" Target="../media/image26.jpeg"/><Relationship Id="rId5" Type="http://schemas.openxmlformats.org/officeDocument/2006/relationships/image" Target="../media/image25.jpeg"/><Relationship Id="rId4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6501</xdr:colOff>
      <xdr:row>42</xdr:row>
      <xdr:rowOff>15498</xdr:rowOff>
    </xdr:from>
    <xdr:to>
      <xdr:col>6</xdr:col>
      <xdr:colOff>62305</xdr:colOff>
      <xdr:row>90</xdr:row>
      <xdr:rowOff>57277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581" y="7890768"/>
          <a:ext cx="6666154" cy="6998839"/>
        </a:xfrm>
        <a:prstGeom prst="rect">
          <a:avLst/>
        </a:prstGeom>
      </xdr:spPr>
    </xdr:pic>
    <xdr:clientData/>
  </xdr:twoCellAnchor>
  <xdr:twoCellAnchor editAs="oneCell">
    <xdr:from>
      <xdr:col>7</xdr:col>
      <xdr:colOff>194310</xdr:colOff>
      <xdr:row>35</xdr:row>
      <xdr:rowOff>276184</xdr:rowOff>
    </xdr:from>
    <xdr:to>
      <xdr:col>11</xdr:col>
      <xdr:colOff>384810</xdr:colOff>
      <xdr:row>40</xdr:row>
      <xdr:rowOff>121920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1" t="3434" r="1137" b="1414"/>
        <a:stretch/>
      </xdr:blipFill>
      <xdr:spPr>
        <a:xfrm>
          <a:off x="9711690" y="5252044"/>
          <a:ext cx="5433060" cy="3156626"/>
        </a:xfrm>
        <a:prstGeom prst="rect">
          <a:avLst/>
        </a:prstGeom>
      </xdr:spPr>
    </xdr:pic>
    <xdr:clientData/>
  </xdr:twoCellAnchor>
  <xdr:twoCellAnchor editAs="oneCell">
    <xdr:from>
      <xdr:col>7</xdr:col>
      <xdr:colOff>262890</xdr:colOff>
      <xdr:row>12</xdr:row>
      <xdr:rowOff>53340</xdr:rowOff>
    </xdr:from>
    <xdr:to>
      <xdr:col>11</xdr:col>
      <xdr:colOff>320040</xdr:colOff>
      <xdr:row>34</xdr:row>
      <xdr:rowOff>8890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2122170"/>
          <a:ext cx="5299710" cy="3384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617220</xdr:colOff>
      <xdr:row>28</xdr:row>
      <xdr:rowOff>22860</xdr:rowOff>
    </xdr:from>
    <xdr:to>
      <xdr:col>10</xdr:col>
      <xdr:colOff>678180</xdr:colOff>
      <xdr:row>30</xdr:row>
      <xdr:rowOff>43180</xdr:rowOff>
    </xdr:to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955530" y="4739640"/>
          <a:ext cx="1992630" cy="309880"/>
        </a:xfrm>
        <a:prstGeom prst="rect">
          <a:avLst/>
        </a:prstGeom>
        <a:noFill/>
        <a:ln w="9525" cmpd="sng"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FFFFFF"/>
              </a:solidFill>
              <a:effectLst>
                <a:outerShdw blurRad="63500" dist="38100" dir="5400000" sx="101000" sy="101000" algn="t">
                  <a:srgbClr val="000000"/>
                </a:outerShdw>
              </a:effectLst>
              <a:ea typeface="DengXian" panose="02010600030101010101" pitchFamily="2" charset="-122"/>
              <a:cs typeface="Times New Roman" panose="02020603050405020304" pitchFamily="18" charset="0"/>
            </a:rPr>
            <a:t>MANUFACTURED LMS</a:t>
          </a:r>
          <a:r>
            <a:rPr lang="en-US" sz="1100">
              <a:solidFill>
                <a:srgbClr val="FFFFFF"/>
              </a:solidFill>
              <a:effectLst>
                <a:outerShdw blurRad="63500" dist="38100" dir="5400000" sx="101000" sy="101000" algn="t">
                  <a:srgbClr val="000000"/>
                </a:outerShdw>
              </a:effectLst>
              <a:ea typeface="DengXian" panose="02010600030101010101" pitchFamily="2" charset="-122"/>
              <a:cs typeface="Times New Roman" panose="02020603050405020304" pitchFamily="18" charset="0"/>
            </a:rPr>
            <a:t> </a:t>
          </a:r>
          <a:endParaRPr lang="en-US" sz="1800">
            <a:effectLst/>
            <a:latin typeface="Times New Roman" panose="02020603050405020304" pitchFamily="18" charset="0"/>
            <a:ea typeface="DengXian" panose="02010600030101010101" pitchFamily="2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517920</xdr:colOff>
      <xdr:row>70</xdr:row>
      <xdr:rowOff>62913</xdr:rowOff>
    </xdr:from>
    <xdr:to>
      <xdr:col>3</xdr:col>
      <xdr:colOff>569579</xdr:colOff>
      <xdr:row>110</xdr:row>
      <xdr:rowOff>147862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20" y="11253427"/>
          <a:ext cx="4618216" cy="6398664"/>
        </a:xfrm>
        <a:prstGeom prst="rect">
          <a:avLst/>
        </a:prstGeom>
      </xdr:spPr>
    </xdr:pic>
    <xdr:clientData/>
  </xdr:twoCellAnchor>
  <xdr:twoCellAnchor editAs="oneCell">
    <xdr:from>
      <xdr:col>3</xdr:col>
      <xdr:colOff>642240</xdr:colOff>
      <xdr:row>70</xdr:row>
      <xdr:rowOff>87724</xdr:rowOff>
    </xdr:from>
    <xdr:to>
      <xdr:col>8</xdr:col>
      <xdr:colOff>300317</xdr:colOff>
      <xdr:row>110</xdr:row>
      <xdr:rowOff>127331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697" y="11920495"/>
          <a:ext cx="4725377" cy="6353321"/>
        </a:xfrm>
        <a:prstGeom prst="rect">
          <a:avLst/>
        </a:prstGeom>
      </xdr:spPr>
    </xdr:pic>
    <xdr:clientData/>
  </xdr:twoCellAnchor>
  <xdr:twoCellAnchor editAs="oneCell">
    <xdr:from>
      <xdr:col>18</xdr:col>
      <xdr:colOff>36702</xdr:colOff>
      <xdr:row>70</xdr:row>
      <xdr:rowOff>135754</xdr:rowOff>
    </xdr:from>
    <xdr:to>
      <xdr:col>25</xdr:col>
      <xdr:colOff>597316</xdr:colOff>
      <xdr:row>111</xdr:row>
      <xdr:rowOff>4634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5745" y="11326268"/>
          <a:ext cx="5056414" cy="6340437"/>
        </a:xfrm>
        <a:prstGeom prst="rect">
          <a:avLst/>
        </a:prstGeom>
      </xdr:spPr>
    </xdr:pic>
    <xdr:clientData/>
  </xdr:twoCellAnchor>
  <xdr:twoCellAnchor editAs="oneCell">
    <xdr:from>
      <xdr:col>9</xdr:col>
      <xdr:colOff>735108</xdr:colOff>
      <xdr:row>70</xdr:row>
      <xdr:rowOff>138953</xdr:rowOff>
    </xdr:from>
    <xdr:to>
      <xdr:col>17</xdr:col>
      <xdr:colOff>193190</xdr:colOff>
      <xdr:row>99</xdr:row>
      <xdr:rowOff>35859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1" t="1902" r="18315" b="5961"/>
        <a:stretch/>
      </xdr:blipFill>
      <xdr:spPr>
        <a:xfrm>
          <a:off x="10748684" y="11268635"/>
          <a:ext cx="6186094" cy="4446494"/>
        </a:xfrm>
        <a:prstGeom prst="rect">
          <a:avLst/>
        </a:prstGeom>
      </xdr:spPr>
    </xdr:pic>
    <xdr:clientData/>
  </xdr:twoCellAnchor>
  <xdr:twoCellAnchor editAs="oneCell">
    <xdr:from>
      <xdr:col>16</xdr:col>
      <xdr:colOff>114299</xdr:colOff>
      <xdr:row>3</xdr:row>
      <xdr:rowOff>0</xdr:rowOff>
    </xdr:from>
    <xdr:to>
      <xdr:col>23</xdr:col>
      <xdr:colOff>288471</xdr:colOff>
      <xdr:row>24</xdr:row>
      <xdr:rowOff>96691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8" t="7308" r="26313" b="4301"/>
        <a:stretch/>
      </xdr:blipFill>
      <xdr:spPr>
        <a:xfrm>
          <a:off x="16208828" y="598715"/>
          <a:ext cx="4669972" cy="3439886"/>
        </a:xfrm>
        <a:prstGeom prst="rect">
          <a:avLst/>
        </a:prstGeom>
      </xdr:spPr>
    </xdr:pic>
    <xdr:clientData/>
  </xdr:twoCellAnchor>
  <xdr:twoCellAnchor editAs="oneCell">
    <xdr:from>
      <xdr:col>16</xdr:col>
      <xdr:colOff>112699</xdr:colOff>
      <xdr:row>26</xdr:row>
      <xdr:rowOff>69797</xdr:rowOff>
    </xdr:from>
    <xdr:to>
      <xdr:col>24</xdr:col>
      <xdr:colOff>382088</xdr:colOff>
      <xdr:row>46</xdr:row>
      <xdr:rowOff>88776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1" t="3434" r="1137" b="1414"/>
        <a:stretch/>
      </xdr:blipFill>
      <xdr:spPr>
        <a:xfrm>
          <a:off x="16208828" y="4386303"/>
          <a:ext cx="5433060" cy="31566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37</xdr:row>
          <xdr:rowOff>99060</xdr:rowOff>
        </xdr:from>
        <xdr:to>
          <xdr:col>12</xdr:col>
          <xdr:colOff>171450</xdr:colOff>
          <xdr:row>41</xdr:row>
          <xdr:rowOff>49530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224118</xdr:colOff>
      <xdr:row>9</xdr:row>
      <xdr:rowOff>49307</xdr:rowOff>
    </xdr:from>
    <xdr:to>
      <xdr:col>11</xdr:col>
      <xdr:colOff>210671</xdr:colOff>
      <xdr:row>10</xdr:row>
      <xdr:rowOff>150682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1703295"/>
          <a:ext cx="3832412" cy="28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7809</xdr:colOff>
      <xdr:row>8</xdr:row>
      <xdr:rowOff>76199</xdr:rowOff>
    </xdr:from>
    <xdr:to>
      <xdr:col>20</xdr:col>
      <xdr:colOff>528916</xdr:colOff>
      <xdr:row>39</xdr:row>
      <xdr:rowOff>170330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1680" y="1546411"/>
          <a:ext cx="5007943" cy="57912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644364</xdr:colOff>
      <xdr:row>8</xdr:row>
      <xdr:rowOff>160022</xdr:rowOff>
    </xdr:from>
    <xdr:to>
      <xdr:col>3</xdr:col>
      <xdr:colOff>1425177</xdr:colOff>
      <xdr:row>43</xdr:row>
      <xdr:rowOff>125733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1285340" y="1630234"/>
          <a:ext cx="3689861" cy="6397887"/>
          <a:chOff x="1276824" y="1604012"/>
          <a:chExt cx="3687843" cy="6366511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-9170" y="2996686"/>
            <a:ext cx="6366511" cy="3581163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 bwMode="auto">
          <a:xfrm>
            <a:off x="1276824" y="4091942"/>
            <a:ext cx="1123185" cy="3234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  <a:effectLst>
                  <a:outerShdw blurRad="50800" dist="50800" dir="5400000" sx="97000" sy="97000" algn="ctr" rotWithShape="0">
                    <a:srgbClr val="000000"/>
                  </a:outerShdw>
                </a:effectLst>
              </a:rPr>
              <a:t>Dial Indicator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3658074" y="7532372"/>
            <a:ext cx="1123185" cy="3234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  <a:effectLst>
                  <a:outerShdw blurRad="50800" dist="50800" dir="5400000" sx="97000" sy="97000" algn="ctr" rotWithShape="0">
                    <a:srgbClr val="000000"/>
                  </a:outerShdw>
                </a:effectLst>
              </a:rPr>
              <a:t>Digital Scale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 bwMode="auto">
          <a:xfrm>
            <a:off x="3364704" y="2632712"/>
            <a:ext cx="1123185" cy="3234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  <a:effectLst>
                  <a:outerShdw blurRad="50800" dist="50800" dir="5400000" sx="97000" sy="97000" algn="ctr" rotWithShape="0">
                    <a:srgbClr val="000000"/>
                  </a:outerShdw>
                </a:effectLst>
              </a:rPr>
              <a:t>Experimenter</a:t>
            </a:r>
          </a:p>
        </xdr:txBody>
      </xdr:sp>
    </xdr:grpSp>
    <xdr:clientData/>
  </xdr:twoCellAnchor>
  <xdr:twoCellAnchor editAs="oneCell">
    <xdr:from>
      <xdr:col>0</xdr:col>
      <xdr:colOff>350521</xdr:colOff>
      <xdr:row>23</xdr:row>
      <xdr:rowOff>34290</xdr:rowOff>
    </xdr:from>
    <xdr:to>
      <xdr:col>1</xdr:col>
      <xdr:colOff>933451</xdr:colOff>
      <xdr:row>28</xdr:row>
      <xdr:rowOff>156210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7" t="735" r="24310" b="-735"/>
        <a:stretch/>
      </xdr:blipFill>
      <xdr:spPr>
        <a:xfrm>
          <a:off x="350521" y="4240530"/>
          <a:ext cx="1223010" cy="1036320"/>
        </a:xfrm>
        <a:prstGeom prst="ellipse">
          <a:avLst/>
        </a:prstGeom>
        <a:ln w="3175" cap="rnd">
          <a:solidFill>
            <a:schemeClr val="tx1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7</xdr:col>
      <xdr:colOff>468630</xdr:colOff>
      <xdr:row>8</xdr:row>
      <xdr:rowOff>175265</xdr:rowOff>
    </xdr:from>
    <xdr:to>
      <xdr:col>9</xdr:col>
      <xdr:colOff>1673541</xdr:colOff>
      <xdr:row>43</xdr:row>
      <xdr:rowOff>7623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5077" y="3001808"/>
          <a:ext cx="6233158" cy="3506151"/>
        </a:xfrm>
        <a:prstGeom prst="rect">
          <a:avLst/>
        </a:prstGeom>
      </xdr:spPr>
    </xdr:pic>
    <xdr:clientData/>
  </xdr:twoCellAnchor>
  <xdr:twoCellAnchor>
    <xdr:from>
      <xdr:col>9</xdr:col>
      <xdr:colOff>99534</xdr:colOff>
      <xdr:row>18</xdr:row>
      <xdr:rowOff>11432</xdr:rowOff>
    </xdr:from>
    <xdr:to>
      <xdr:col>9</xdr:col>
      <xdr:colOff>1222719</xdr:colOff>
      <xdr:row>19</xdr:row>
      <xdr:rowOff>151971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 bwMode="auto">
        <a:xfrm>
          <a:off x="9620724" y="3303272"/>
          <a:ext cx="1123185" cy="3234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Dial Indicator</a:t>
          </a:r>
        </a:p>
      </xdr:txBody>
    </xdr:sp>
    <xdr:clientData/>
  </xdr:twoCellAnchor>
  <xdr:twoCellAnchor>
    <xdr:from>
      <xdr:col>9</xdr:col>
      <xdr:colOff>143237</xdr:colOff>
      <xdr:row>32</xdr:row>
      <xdr:rowOff>63427</xdr:rowOff>
    </xdr:from>
    <xdr:to>
      <xdr:col>9</xdr:col>
      <xdr:colOff>1266422</xdr:colOff>
      <xdr:row>34</xdr:row>
      <xdr:rowOff>21086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 bwMode="auto">
        <a:xfrm>
          <a:off x="9672719" y="5944274"/>
          <a:ext cx="1123185" cy="325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Digital Scale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15</xdr:row>
      <xdr:rowOff>93345</xdr:rowOff>
    </xdr:from>
    <xdr:to>
      <xdr:col>4</xdr:col>
      <xdr:colOff>491490</xdr:colOff>
      <xdr:row>30</xdr:row>
      <xdr:rowOff>93345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335280</xdr:colOff>
      <xdr:row>15</xdr:row>
      <xdr:rowOff>160020</xdr:rowOff>
    </xdr:from>
    <xdr:to>
      <xdr:col>9</xdr:col>
      <xdr:colOff>1383030</xdr:colOff>
      <xdr:row>30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636270</xdr:colOff>
      <xdr:row>16</xdr:row>
      <xdr:rowOff>26670</xdr:rowOff>
    </xdr:from>
    <xdr:to>
      <xdr:col>14</xdr:col>
      <xdr:colOff>1013460</xdr:colOff>
      <xdr:row>31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488577</xdr:colOff>
      <xdr:row>34</xdr:row>
      <xdr:rowOff>31910</xdr:rowOff>
    </xdr:from>
    <xdr:to>
      <xdr:col>14</xdr:col>
      <xdr:colOff>1573305</xdr:colOff>
      <xdr:row>54</xdr:row>
      <xdr:rowOff>177827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31" t="16154" r="21235" b="1857"/>
        <a:stretch/>
      </xdr:blipFill>
      <xdr:spPr>
        <a:xfrm>
          <a:off x="12949518" y="6280310"/>
          <a:ext cx="5280211" cy="3821446"/>
        </a:xfrm>
        <a:prstGeom prst="rect">
          <a:avLst/>
        </a:prstGeom>
      </xdr:spPr>
    </xdr:pic>
    <xdr:clientData/>
  </xdr:twoCellAnchor>
  <xdr:twoCellAnchor editAs="oneCell">
    <xdr:from>
      <xdr:col>6</xdr:col>
      <xdr:colOff>161364</xdr:colOff>
      <xdr:row>34</xdr:row>
      <xdr:rowOff>26893</xdr:rowOff>
    </xdr:from>
    <xdr:to>
      <xdr:col>9</xdr:col>
      <xdr:colOff>1501588</xdr:colOff>
      <xdr:row>55</xdr:row>
      <xdr:rowOff>21315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5" t="11778" r="24616" b="2000"/>
        <a:stretch/>
      </xdr:blipFill>
      <xdr:spPr>
        <a:xfrm>
          <a:off x="7377952" y="6275293"/>
          <a:ext cx="4863354" cy="3853728"/>
        </a:xfrm>
        <a:prstGeom prst="rect">
          <a:avLst/>
        </a:prstGeom>
      </xdr:spPr>
    </xdr:pic>
    <xdr:clientData/>
  </xdr:twoCellAnchor>
  <xdr:twoCellAnchor editAs="oneCell">
    <xdr:from>
      <xdr:col>1</xdr:col>
      <xdr:colOff>143007</xdr:colOff>
      <xdr:row>34</xdr:row>
      <xdr:rowOff>0</xdr:rowOff>
    </xdr:from>
    <xdr:to>
      <xdr:col>4</xdr:col>
      <xdr:colOff>1094526</xdr:colOff>
      <xdr:row>54</xdr:row>
      <xdr:rowOff>129989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95" t="3528" r="20705" b="17478"/>
        <a:stretch/>
      </xdr:blipFill>
      <xdr:spPr>
        <a:xfrm>
          <a:off x="783983" y="6248400"/>
          <a:ext cx="5241131" cy="3805518"/>
        </a:xfrm>
        <a:prstGeom prst="rect">
          <a:avLst/>
        </a:prstGeom>
      </xdr:spPr>
    </xdr:pic>
    <xdr:clientData/>
  </xdr:twoCellAnchor>
  <xdr:twoCellAnchor>
    <xdr:from>
      <xdr:col>1</xdr:col>
      <xdr:colOff>358160</xdr:colOff>
      <xdr:row>50</xdr:row>
      <xdr:rowOff>152399</xdr:rowOff>
    </xdr:from>
    <xdr:to>
      <xdr:col>2</xdr:col>
      <xdr:colOff>350341</xdr:colOff>
      <xdr:row>52</xdr:row>
      <xdr:rowOff>140710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 bwMode="auto">
        <a:xfrm>
          <a:off x="999136" y="9341223"/>
          <a:ext cx="1090358" cy="355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Laser</a:t>
          </a:r>
        </a:p>
      </xdr:txBody>
    </xdr:sp>
    <xdr:clientData/>
  </xdr:twoCellAnchor>
  <xdr:twoCellAnchor>
    <xdr:from>
      <xdr:col>8</xdr:col>
      <xdr:colOff>1277041</xdr:colOff>
      <xdr:row>37</xdr:row>
      <xdr:rowOff>49305</xdr:rowOff>
    </xdr:from>
    <xdr:to>
      <xdr:col>9</xdr:col>
      <xdr:colOff>856846</xdr:colOff>
      <xdr:row>39</xdr:row>
      <xdr:rowOff>37615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 bwMode="auto">
        <a:xfrm>
          <a:off x="10506206" y="6849034"/>
          <a:ext cx="1090358" cy="355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Laser</a:t>
          </a:r>
        </a:p>
      </xdr:txBody>
    </xdr:sp>
    <xdr:clientData/>
  </xdr:twoCellAnchor>
  <xdr:twoCellAnchor>
    <xdr:from>
      <xdr:col>14</xdr:col>
      <xdr:colOff>143006</xdr:colOff>
      <xdr:row>39</xdr:row>
      <xdr:rowOff>138952</xdr:rowOff>
    </xdr:from>
    <xdr:to>
      <xdr:col>14</xdr:col>
      <xdr:colOff>1233364</xdr:colOff>
      <xdr:row>41</xdr:row>
      <xdr:rowOff>127262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 bwMode="auto">
        <a:xfrm>
          <a:off x="16799430" y="7306234"/>
          <a:ext cx="1090358" cy="355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Laser</a:t>
          </a:r>
        </a:p>
      </xdr:txBody>
    </xdr:sp>
    <xdr:clientData/>
  </xdr:twoCellAnchor>
  <xdr:twoCellAnchor>
    <xdr:from>
      <xdr:col>12</xdr:col>
      <xdr:colOff>44394</xdr:colOff>
      <xdr:row>43</xdr:row>
      <xdr:rowOff>121023</xdr:rowOff>
    </xdr:from>
    <xdr:to>
      <xdr:col>12</xdr:col>
      <xdr:colOff>1167579</xdr:colOff>
      <xdr:row>45</xdr:row>
      <xdr:rowOff>78682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 bwMode="auto">
        <a:xfrm>
          <a:off x="13787288" y="8023411"/>
          <a:ext cx="1123185" cy="325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Digital Scale</a:t>
          </a:r>
        </a:p>
      </xdr:txBody>
    </xdr:sp>
    <xdr:clientData/>
  </xdr:twoCellAnchor>
  <xdr:twoCellAnchor>
    <xdr:from>
      <xdr:col>6</xdr:col>
      <xdr:colOff>524006</xdr:colOff>
      <xdr:row>45</xdr:row>
      <xdr:rowOff>40340</xdr:rowOff>
    </xdr:from>
    <xdr:to>
      <xdr:col>7</xdr:col>
      <xdr:colOff>1037591</xdr:colOff>
      <xdr:row>46</xdr:row>
      <xdr:rowOff>181775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 bwMode="auto">
        <a:xfrm>
          <a:off x="7740594" y="8310281"/>
          <a:ext cx="1123185" cy="325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Digital Scale</a:t>
          </a:r>
        </a:p>
      </xdr:txBody>
    </xdr:sp>
    <xdr:clientData/>
  </xdr:twoCellAnchor>
  <xdr:twoCellAnchor>
    <xdr:from>
      <xdr:col>3</xdr:col>
      <xdr:colOff>501594</xdr:colOff>
      <xdr:row>36</xdr:row>
      <xdr:rowOff>40340</xdr:rowOff>
    </xdr:from>
    <xdr:to>
      <xdr:col>3</xdr:col>
      <xdr:colOff>1624779</xdr:colOff>
      <xdr:row>37</xdr:row>
      <xdr:rowOff>181776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 bwMode="auto">
        <a:xfrm>
          <a:off x="3800606" y="6656293"/>
          <a:ext cx="1123185" cy="325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Digital Scale</a:t>
          </a:r>
        </a:p>
      </xdr:txBody>
    </xdr:sp>
    <xdr:clientData/>
  </xdr:twoCellAnchor>
  <xdr:twoCellAnchor editAs="oneCell">
    <xdr:from>
      <xdr:col>1</xdr:col>
      <xdr:colOff>665860</xdr:colOff>
      <xdr:row>58</xdr:row>
      <xdr:rowOff>146798</xdr:rowOff>
    </xdr:from>
    <xdr:to>
      <xdr:col>4</xdr:col>
      <xdr:colOff>685799</xdr:colOff>
      <xdr:row>72</xdr:row>
      <xdr:rowOff>134471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0" b="43067"/>
        <a:stretch/>
      </xdr:blipFill>
      <xdr:spPr>
        <a:xfrm>
          <a:off x="1306836" y="10805833"/>
          <a:ext cx="4309551" cy="2560544"/>
        </a:xfrm>
        <a:prstGeom prst="rect">
          <a:avLst/>
        </a:prstGeom>
      </xdr:spPr>
    </xdr:pic>
    <xdr:clientData/>
  </xdr:twoCellAnchor>
  <xdr:twoCellAnchor editAs="oneCell">
    <xdr:from>
      <xdr:col>6</xdr:col>
      <xdr:colOff>73891</xdr:colOff>
      <xdr:row>56</xdr:row>
      <xdr:rowOff>89647</xdr:rowOff>
    </xdr:from>
    <xdr:to>
      <xdr:col>9</xdr:col>
      <xdr:colOff>1317813</xdr:colOff>
      <xdr:row>74</xdr:row>
      <xdr:rowOff>40341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9" b="2449"/>
        <a:stretch/>
      </xdr:blipFill>
      <xdr:spPr>
        <a:xfrm>
          <a:off x="7290479" y="10381129"/>
          <a:ext cx="4767052" cy="3258671"/>
        </a:xfrm>
        <a:prstGeom prst="rect">
          <a:avLst/>
        </a:prstGeom>
      </xdr:spPr>
    </xdr:pic>
    <xdr:clientData/>
  </xdr:twoCellAnchor>
  <xdr:twoCellAnchor editAs="oneCell">
    <xdr:from>
      <xdr:col>12</xdr:col>
      <xdr:colOff>40340</xdr:colOff>
      <xdr:row>56</xdr:row>
      <xdr:rowOff>17929</xdr:rowOff>
    </xdr:from>
    <xdr:to>
      <xdr:col>14</xdr:col>
      <xdr:colOff>959223</xdr:colOff>
      <xdr:row>75</xdr:row>
      <xdr:rowOff>100585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0" t="928" r="28631" b="4647"/>
        <a:stretch/>
      </xdr:blipFill>
      <xdr:spPr>
        <a:xfrm>
          <a:off x="13783234" y="10309411"/>
          <a:ext cx="3832413" cy="35744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400230</xdr:colOff>
      <xdr:row>10</xdr:row>
      <xdr:rowOff>81643</xdr:rowOff>
    </xdr:from>
    <xdr:to>
      <xdr:col>12</xdr:col>
      <xdr:colOff>896948</xdr:colOff>
      <xdr:row>29</xdr:row>
      <xdr:rowOff>16889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9" r="29123" b="1"/>
        <a:stretch/>
      </xdr:blipFill>
      <xdr:spPr>
        <a:xfrm>
          <a:off x="10126616" y="1932214"/>
          <a:ext cx="4325927" cy="3451332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10</xdr:row>
      <xdr:rowOff>108856</xdr:rowOff>
    </xdr:from>
    <xdr:to>
      <xdr:col>3</xdr:col>
      <xdr:colOff>606394</xdr:colOff>
      <xdr:row>28</xdr:row>
      <xdr:rowOff>148121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74" t="21270" r="22749"/>
        <a:stretch/>
      </xdr:blipFill>
      <xdr:spPr>
        <a:xfrm rot="16200000">
          <a:off x="950795" y="2184290"/>
          <a:ext cx="3370294" cy="2920568"/>
        </a:xfrm>
        <a:prstGeom prst="rect">
          <a:avLst/>
        </a:prstGeom>
      </xdr:spPr>
    </xdr:pic>
    <xdr:clientData/>
  </xdr:twoCellAnchor>
  <xdr:twoCellAnchor editAs="oneCell">
    <xdr:from>
      <xdr:col>4</xdr:col>
      <xdr:colOff>195941</xdr:colOff>
      <xdr:row>10</xdr:row>
      <xdr:rowOff>5443</xdr:rowOff>
    </xdr:from>
    <xdr:to>
      <xdr:col>8</xdr:col>
      <xdr:colOff>346524</xdr:colOff>
      <xdr:row>29</xdr:row>
      <xdr:rowOff>48987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49" t="670" r="6275" b="-710"/>
        <a:stretch/>
      </xdr:blipFill>
      <xdr:spPr>
        <a:xfrm rot="10800000">
          <a:off x="4223655" y="1856014"/>
          <a:ext cx="5287680" cy="3559630"/>
        </a:xfrm>
        <a:prstGeom prst="rect">
          <a:avLst/>
        </a:prstGeom>
      </xdr:spPr>
    </xdr:pic>
    <xdr:clientData/>
  </xdr:twoCellAnchor>
  <xdr:twoCellAnchor editAs="oneCell">
    <xdr:from>
      <xdr:col>4</xdr:col>
      <xdr:colOff>1502228</xdr:colOff>
      <xdr:row>30</xdr:row>
      <xdr:rowOff>38101</xdr:rowOff>
    </xdr:from>
    <xdr:to>
      <xdr:col>7</xdr:col>
      <xdr:colOff>1557967</xdr:colOff>
      <xdr:row>47</xdr:row>
      <xdr:rowOff>135144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23" t="16088" r="38690" b="44745"/>
        <a:stretch/>
      </xdr:blipFill>
      <xdr:spPr>
        <a:xfrm>
          <a:off x="5529942" y="5589815"/>
          <a:ext cx="3565742" cy="324301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30</xdr:row>
      <xdr:rowOff>43544</xdr:rowOff>
    </xdr:from>
    <xdr:to>
      <xdr:col>13</xdr:col>
      <xdr:colOff>501048</xdr:colOff>
      <xdr:row>45</xdr:row>
      <xdr:rowOff>108858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80" t="13049" r="14631" b="20214"/>
        <a:stretch/>
      </xdr:blipFill>
      <xdr:spPr>
        <a:xfrm>
          <a:off x="9808029" y="5595258"/>
          <a:ext cx="5795666" cy="2841171"/>
        </a:xfrm>
        <a:prstGeom prst="rect">
          <a:avLst/>
        </a:prstGeom>
      </xdr:spPr>
    </xdr:pic>
    <xdr:clientData/>
  </xdr:twoCellAnchor>
  <xdr:twoCellAnchor editAs="oneCell">
    <xdr:from>
      <xdr:col>1</xdr:col>
      <xdr:colOff>429988</xdr:colOff>
      <xdr:row>29</xdr:row>
      <xdr:rowOff>179615</xdr:rowOff>
    </xdr:from>
    <xdr:to>
      <xdr:col>4</xdr:col>
      <xdr:colOff>1088758</xdr:colOff>
      <xdr:row>47</xdr:row>
      <xdr:rowOff>118772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2" t="18282" r="27361" b="16503"/>
        <a:stretch/>
      </xdr:blipFill>
      <xdr:spPr>
        <a:xfrm>
          <a:off x="1072245" y="5546272"/>
          <a:ext cx="4147321" cy="3270186"/>
        </a:xfrm>
        <a:prstGeom prst="rect">
          <a:avLst/>
        </a:prstGeom>
      </xdr:spPr>
    </xdr:pic>
    <xdr:clientData/>
  </xdr:twoCellAnchor>
  <xdr:twoCellAnchor>
    <xdr:from>
      <xdr:col>9</xdr:col>
      <xdr:colOff>2033088</xdr:colOff>
      <xdr:row>17</xdr:row>
      <xdr:rowOff>65315</xdr:rowOff>
    </xdr:from>
    <xdr:to>
      <xdr:col>11</xdr:col>
      <xdr:colOff>380246</xdr:colOff>
      <xdr:row>19</xdr:row>
      <xdr:rowOff>51063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 bwMode="auto">
        <a:xfrm>
          <a:off x="11759474" y="3211286"/>
          <a:ext cx="1090358" cy="355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Laser</a:t>
          </a:r>
        </a:p>
      </xdr:txBody>
    </xdr:sp>
    <xdr:clientData/>
  </xdr:twoCellAnchor>
  <xdr:twoCellAnchor>
    <xdr:from>
      <xdr:col>7</xdr:col>
      <xdr:colOff>128088</xdr:colOff>
      <xdr:row>17</xdr:row>
      <xdr:rowOff>92529</xdr:rowOff>
    </xdr:from>
    <xdr:to>
      <xdr:col>7</xdr:col>
      <xdr:colOff>1218446</xdr:colOff>
      <xdr:row>19</xdr:row>
      <xdr:rowOff>78277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 bwMode="auto">
        <a:xfrm>
          <a:off x="7584802" y="3238500"/>
          <a:ext cx="1090358" cy="355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Laser</a:t>
          </a:r>
        </a:p>
      </xdr:txBody>
    </xdr:sp>
    <xdr:clientData/>
  </xdr:twoCellAnchor>
  <xdr:twoCellAnchor>
    <xdr:from>
      <xdr:col>1</xdr:col>
      <xdr:colOff>1788159</xdr:colOff>
      <xdr:row>13</xdr:row>
      <xdr:rowOff>76200</xdr:rowOff>
    </xdr:from>
    <xdr:to>
      <xdr:col>3</xdr:col>
      <xdr:colOff>135317</xdr:colOff>
      <xdr:row>15</xdr:row>
      <xdr:rowOff>61949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 bwMode="auto">
        <a:xfrm>
          <a:off x="2430416" y="2481943"/>
          <a:ext cx="1090358" cy="355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Laser</a:t>
          </a:r>
        </a:p>
      </xdr:txBody>
    </xdr:sp>
    <xdr:clientData/>
  </xdr:twoCellAnchor>
  <xdr:twoCellAnchor>
    <xdr:from>
      <xdr:col>4</xdr:col>
      <xdr:colOff>2041071</xdr:colOff>
      <xdr:row>12</xdr:row>
      <xdr:rowOff>27214</xdr:rowOff>
    </xdr:from>
    <xdr:to>
      <xdr:col>6</xdr:col>
      <xdr:colOff>551717</xdr:colOff>
      <xdr:row>15</xdr:row>
      <xdr:rowOff>42189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 bwMode="auto">
        <a:xfrm>
          <a:off x="6068785" y="2247900"/>
          <a:ext cx="1281061" cy="5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Measurement</a:t>
          </a:r>
          <a:r>
            <a:rPr lang="en-US" sz="1200" b="1" baseline="0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 Sheet</a:t>
          </a:r>
          <a:endParaRPr lang="en-US" sz="1200" b="1">
            <a:solidFill>
              <a:schemeClr val="bg1"/>
            </a:solidFill>
            <a:effectLst>
              <a:outerShdw blurRad="50800" dist="50800" dir="5400000" sx="97000" sy="97000" algn="ctr" rotWithShape="0">
                <a:srgbClr val="000000"/>
              </a:outerShdw>
            </a:effectLst>
          </a:endParaRPr>
        </a:p>
      </xdr:txBody>
    </xdr:sp>
    <xdr:clientData/>
  </xdr:twoCellAnchor>
  <xdr:twoCellAnchor>
    <xdr:from>
      <xdr:col>5</xdr:col>
      <xdr:colOff>290346</xdr:colOff>
      <xdr:row>13</xdr:row>
      <xdr:rowOff>110011</xdr:rowOff>
    </xdr:from>
    <xdr:to>
      <xdr:col>5</xdr:col>
      <xdr:colOff>336095</xdr:colOff>
      <xdr:row>14</xdr:row>
      <xdr:rowOff>143064</xdr:rowOff>
    </xdr:to>
    <xdr:sp macro="" textlink="">
      <xdr:nvSpPr>
        <xdr:cNvPr id="24" name="Arrow: Down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 bwMode="auto">
        <a:xfrm rot="2050119">
          <a:off x="6446217" y="2515754"/>
          <a:ext cx="45749" cy="218110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  <a:effectLst>
          <a:outerShdw blurRad="228600" dist="63500" dir="5400000" sx="98000" sy="98000" algn="t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70757</xdr:colOff>
      <xdr:row>31</xdr:row>
      <xdr:rowOff>163287</xdr:rowOff>
    </xdr:from>
    <xdr:to>
      <xdr:col>7</xdr:col>
      <xdr:colOff>1301387</xdr:colOff>
      <xdr:row>35</xdr:row>
      <xdr:rowOff>4599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 bwMode="auto">
        <a:xfrm>
          <a:off x="7527471" y="5900058"/>
          <a:ext cx="1230630" cy="581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Pitch Measurement</a:t>
          </a:r>
        </a:p>
        <a:p>
          <a:pPr algn="ctr"/>
          <a:endParaRPr lang="en-US" sz="1200" b="1">
            <a:solidFill>
              <a:schemeClr val="bg1"/>
            </a:solidFill>
            <a:effectLst>
              <a:outerShdw blurRad="50800" dist="50800" dir="5400000" sx="97000" sy="97000" algn="ctr" rotWithShape="0">
                <a:srgbClr val="000000"/>
              </a:outerShdw>
            </a:effectLst>
          </a:endParaRPr>
        </a:p>
      </xdr:txBody>
    </xdr:sp>
    <xdr:clientData/>
  </xdr:twoCellAnchor>
  <xdr:twoCellAnchor>
    <xdr:from>
      <xdr:col>1</xdr:col>
      <xdr:colOff>560614</xdr:colOff>
      <xdr:row>32</xdr:row>
      <xdr:rowOff>10886</xdr:rowOff>
    </xdr:from>
    <xdr:to>
      <xdr:col>1</xdr:col>
      <xdr:colOff>1791244</xdr:colOff>
      <xdr:row>35</xdr:row>
      <xdr:rowOff>37256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 bwMode="auto">
        <a:xfrm>
          <a:off x="1202871" y="5932715"/>
          <a:ext cx="1230630" cy="581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Yaw Measurement</a:t>
          </a:r>
        </a:p>
        <a:p>
          <a:pPr algn="ctr"/>
          <a:endParaRPr lang="en-US" sz="1200" b="1">
            <a:solidFill>
              <a:schemeClr val="bg1"/>
            </a:solidFill>
            <a:effectLst>
              <a:outerShdw blurRad="50800" dist="50800" dir="5400000" sx="97000" sy="97000" algn="ctr" rotWithShape="0">
                <a:srgbClr val="000000"/>
              </a:outerShdw>
            </a:effectLst>
          </a:endParaRPr>
        </a:p>
      </xdr:txBody>
    </xdr:sp>
    <xdr:clientData/>
  </xdr:twoCellAnchor>
  <xdr:twoCellAnchor>
    <xdr:from>
      <xdr:col>9</xdr:col>
      <xdr:colOff>707572</xdr:colOff>
      <xdr:row>31</xdr:row>
      <xdr:rowOff>10887</xdr:rowOff>
    </xdr:from>
    <xdr:to>
      <xdr:col>9</xdr:col>
      <xdr:colOff>1938202</xdr:colOff>
      <xdr:row>34</xdr:row>
      <xdr:rowOff>37256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 bwMode="auto">
        <a:xfrm>
          <a:off x="10433958" y="5747658"/>
          <a:ext cx="1230630" cy="581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Roll Measurement</a:t>
          </a:r>
        </a:p>
        <a:p>
          <a:pPr algn="ctr"/>
          <a:endParaRPr lang="en-US" sz="1200" b="1">
            <a:solidFill>
              <a:schemeClr val="bg1"/>
            </a:solidFill>
            <a:effectLst>
              <a:outerShdw blurRad="50800" dist="50800" dir="5400000" sx="97000" sy="97000" algn="ctr" rotWithShape="0">
                <a:srgbClr val="000000"/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9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topLeftCell="E6" zoomScaleNormal="100" workbookViewId="0">
      <selection activeCell="O33" sqref="O33"/>
    </sheetView>
  </sheetViews>
  <sheetFormatPr defaultColWidth="8.89453125" defaultRowHeight="11.4"/>
  <cols>
    <col min="1" max="1" width="8.89453125" style="6"/>
    <col min="2" max="2" width="5.20703125" style="6" customWidth="1"/>
    <col min="3" max="3" width="39.62890625" style="6" customWidth="1"/>
    <col min="4" max="4" width="30.3125" style="6" customWidth="1"/>
    <col min="5" max="5" width="11.41796875" style="6" customWidth="1"/>
    <col min="6" max="6" width="9.9453125" style="6" customWidth="1"/>
    <col min="7" max="7" width="23.578125" style="6" customWidth="1"/>
    <col min="8" max="8" width="26.83984375" style="6" customWidth="1"/>
    <col min="9" max="10" width="8.89453125" style="6"/>
    <col min="11" max="11" width="27.7890625" style="6" bestFit="1" customWidth="1"/>
    <col min="12" max="12" width="10.734375" style="6" customWidth="1"/>
    <col min="13" max="13" width="8.89453125" style="6"/>
    <col min="14" max="14" width="32.3671875" style="6" bestFit="1" customWidth="1"/>
    <col min="15" max="16384" width="8.89453125" style="6"/>
  </cols>
  <sheetData>
    <row r="1" spans="1:15" ht="19.8">
      <c r="C1" s="121" t="s">
        <v>20</v>
      </c>
      <c r="D1" s="121"/>
      <c r="E1" s="121"/>
      <c r="F1" s="60"/>
      <c r="G1" s="51"/>
    </row>
    <row r="2" spans="1:15" ht="14.4" customHeight="1">
      <c r="B2" s="20"/>
      <c r="C2" s="20"/>
      <c r="D2" s="64" t="s">
        <v>21</v>
      </c>
      <c r="E2" s="20"/>
      <c r="F2" s="20"/>
    </row>
    <row r="3" spans="1:15" ht="12.6">
      <c r="A3" s="19"/>
      <c r="B3" s="19"/>
      <c r="C3" s="19"/>
      <c r="D3" s="19"/>
      <c r="E3" s="19"/>
      <c r="F3" s="19"/>
    </row>
    <row r="4" spans="1:15" ht="15.3">
      <c r="B4" s="21"/>
      <c r="C4" s="21"/>
      <c r="D4" s="61" t="s">
        <v>22</v>
      </c>
      <c r="E4" s="52"/>
      <c r="F4" s="52"/>
    </row>
    <row r="5" spans="1:15" ht="12.6">
      <c r="B5" s="21"/>
      <c r="D5" s="22"/>
      <c r="E5" s="22"/>
      <c r="F5" s="30"/>
    </row>
    <row r="6" spans="1:15" ht="12.6">
      <c r="B6" s="21"/>
      <c r="C6" s="32" t="s">
        <v>19</v>
      </c>
      <c r="D6" s="30"/>
      <c r="E6" s="30"/>
      <c r="F6" s="30"/>
    </row>
    <row r="7" spans="1:15" ht="12.6">
      <c r="B7" s="21"/>
      <c r="C7" s="31" t="s">
        <v>95</v>
      </c>
      <c r="D7" s="31" t="s">
        <v>127</v>
      </c>
      <c r="E7" s="30"/>
      <c r="F7" s="30"/>
    </row>
    <row r="8" spans="1:15" ht="12.6">
      <c r="B8" s="21"/>
      <c r="C8" s="31" t="s">
        <v>203</v>
      </c>
      <c r="D8" s="31"/>
      <c r="E8" s="30"/>
      <c r="F8" s="30"/>
    </row>
    <row r="9" spans="1:15" ht="12.6">
      <c r="B9" s="21"/>
      <c r="C9" s="31" t="s">
        <v>96</v>
      </c>
      <c r="D9" s="31"/>
      <c r="E9" s="30"/>
      <c r="F9" s="30"/>
    </row>
    <row r="10" spans="1:15" ht="12.6">
      <c r="B10" s="21"/>
      <c r="C10" s="31" t="s">
        <v>132</v>
      </c>
      <c r="D10" s="31"/>
      <c r="E10" s="30"/>
      <c r="F10" s="30"/>
    </row>
    <row r="11" spans="1:15" ht="12.6">
      <c r="B11" s="21"/>
      <c r="C11" s="31" t="s">
        <v>97</v>
      </c>
      <c r="D11" s="31"/>
      <c r="E11" s="30"/>
      <c r="F11" s="30"/>
    </row>
    <row r="12" spans="1:15" ht="12.6">
      <c r="B12" s="21"/>
      <c r="D12" s="22"/>
      <c r="E12" s="22"/>
      <c r="F12" s="30"/>
    </row>
    <row r="13" spans="1:15">
      <c r="B13" s="9"/>
      <c r="C13" s="10"/>
      <c r="D13" s="65" t="s">
        <v>6</v>
      </c>
      <c r="E13" s="37" t="s">
        <v>3</v>
      </c>
      <c r="F13" s="37" t="s">
        <v>192</v>
      </c>
      <c r="G13" s="37" t="s">
        <v>193</v>
      </c>
    </row>
    <row r="14" spans="1:15">
      <c r="B14" s="11"/>
      <c r="C14" s="12"/>
      <c r="D14" s="8" t="s">
        <v>126</v>
      </c>
      <c r="E14" s="38"/>
      <c r="F14" s="38"/>
      <c r="G14" s="38"/>
    </row>
    <row r="15" spans="1:15" ht="52.5" customHeight="1" thickBot="1">
      <c r="B15" s="46" t="s">
        <v>4</v>
      </c>
      <c r="C15" s="14"/>
      <c r="D15" s="47" t="s">
        <v>98</v>
      </c>
      <c r="E15" s="17"/>
      <c r="F15" s="17"/>
      <c r="G15" s="17"/>
    </row>
    <row r="16" spans="1:15" ht="14.4" customHeight="1">
      <c r="B16" s="118" t="s">
        <v>5</v>
      </c>
      <c r="C16" s="69" t="s">
        <v>195</v>
      </c>
      <c r="D16" s="79">
        <f>'A- CONCEPT1 ANALYSIS'!C37</f>
        <v>50.26548245743669</v>
      </c>
      <c r="E16" s="49" t="s">
        <v>199</v>
      </c>
      <c r="F16" s="49" t="s">
        <v>212</v>
      </c>
      <c r="G16" s="49" t="s">
        <v>81</v>
      </c>
      <c r="N16" s="134" t="s">
        <v>195</v>
      </c>
      <c r="O16" s="110" t="s">
        <v>199</v>
      </c>
    </row>
    <row r="17" spans="2:15" ht="11.4" customHeight="1">
      <c r="B17" s="119"/>
      <c r="C17" s="69" t="s">
        <v>101</v>
      </c>
      <c r="D17" s="78">
        <f>'A- CONCEPT1 ANALYSIS'!C34</f>
        <v>422.99801474294406</v>
      </c>
      <c r="E17" s="49" t="s">
        <v>199</v>
      </c>
      <c r="F17" s="93">
        <f>'C- LINEAR STIFFNESS EXPERIMENTS'!J7</f>
        <v>24.331889763779529</v>
      </c>
      <c r="G17" s="49" t="s">
        <v>81</v>
      </c>
      <c r="N17" s="135" t="s">
        <v>101</v>
      </c>
      <c r="O17" s="112" t="s">
        <v>199</v>
      </c>
    </row>
    <row r="18" spans="2:15" ht="11.7" thickBot="1">
      <c r="B18" s="119"/>
      <c r="C18" s="16" t="s">
        <v>102</v>
      </c>
      <c r="D18" s="76">
        <f>'A- CONCEPT1 ANALYSIS'!C36</f>
        <v>10.611823816320564</v>
      </c>
      <c r="E18" s="49" t="s">
        <v>200</v>
      </c>
      <c r="F18" s="94">
        <f>'C- LINEAR STIFFNESS EXPERIMENTS'!D7</f>
        <v>7.7437204724409456</v>
      </c>
      <c r="G18" s="49" t="s">
        <v>81</v>
      </c>
      <c r="N18" s="136" t="s">
        <v>102</v>
      </c>
      <c r="O18" s="115" t="s">
        <v>200</v>
      </c>
    </row>
    <row r="19" spans="2:15" ht="3.9" customHeight="1" thickBot="1">
      <c r="B19" s="119"/>
      <c r="D19" s="77"/>
      <c r="E19" s="49"/>
      <c r="F19" s="49"/>
      <c r="G19" s="49"/>
      <c r="N19" s="135"/>
      <c r="O19" s="112"/>
    </row>
    <row r="20" spans="2:15">
      <c r="B20" s="119"/>
      <c r="C20" s="16" t="s">
        <v>103</v>
      </c>
      <c r="D20" s="76">
        <f>'A- CONCEPT1 ANALYSIS'!C39</f>
        <v>172.72418935336881</v>
      </c>
      <c r="E20" s="49" t="s">
        <v>200</v>
      </c>
      <c r="F20" s="100">
        <f>'D-ANGULAR STIFFNESS EXPERIMENTS'!D15</f>
        <v>13.7</v>
      </c>
      <c r="G20" s="49" t="s">
        <v>81</v>
      </c>
      <c r="N20" s="134" t="s">
        <v>103</v>
      </c>
      <c r="O20" s="110" t="s">
        <v>200</v>
      </c>
    </row>
    <row r="21" spans="2:15">
      <c r="B21" s="119"/>
      <c r="C21" s="28" t="s">
        <v>105</v>
      </c>
      <c r="D21" s="76">
        <f>'A- CONCEPT1 ANALYSIS'!C40</f>
        <v>6.6323898852003529</v>
      </c>
      <c r="E21" s="49" t="s">
        <v>222</v>
      </c>
      <c r="F21" s="94">
        <f>'D-ANGULAR STIFFNESS EXPERIMENTS'!I15</f>
        <v>5.88</v>
      </c>
      <c r="G21" s="49" t="s">
        <v>81</v>
      </c>
      <c r="N21" s="135" t="s">
        <v>105</v>
      </c>
      <c r="O21" s="112" t="s">
        <v>222</v>
      </c>
    </row>
    <row r="22" spans="2:15" ht="11.7" thickBot="1">
      <c r="B22" s="119"/>
      <c r="C22" s="28" t="s">
        <v>104</v>
      </c>
      <c r="D22" s="76">
        <f>'A- CONCEPT1 ANALYSIS'!C41</f>
        <v>6.6323898852003529</v>
      </c>
      <c r="E22" s="49" t="s">
        <v>222</v>
      </c>
      <c r="F22" s="94">
        <f>'D-ANGULAR STIFFNESS EXPERIMENTS'!N15</f>
        <v>4.68</v>
      </c>
      <c r="G22" s="49" t="s">
        <v>81</v>
      </c>
      <c r="N22" s="136" t="s">
        <v>104</v>
      </c>
      <c r="O22" s="115" t="s">
        <v>222</v>
      </c>
    </row>
    <row r="23" spans="2:15" ht="3" customHeight="1" thickBot="1">
      <c r="B23" s="119"/>
      <c r="C23" s="28"/>
      <c r="D23" s="77"/>
      <c r="E23" s="49"/>
      <c r="F23" s="49"/>
      <c r="G23" s="49"/>
      <c r="N23" s="135"/>
      <c r="O23" s="112"/>
    </row>
    <row r="24" spans="2:15" ht="12.6" customHeight="1">
      <c r="B24" s="119"/>
      <c r="C24" s="70" t="s">
        <v>190</v>
      </c>
      <c r="D24" s="74">
        <f>'A- CONCEPT1 ANALYSIS'!K44/2+ABS('B-WEAR-REPEATABILITY'!C31)</f>
        <v>1.6507234581985135</v>
      </c>
      <c r="E24" s="49" t="s">
        <v>204</v>
      </c>
      <c r="F24" s="49" t="s">
        <v>81</v>
      </c>
      <c r="G24" s="117" t="s">
        <v>194</v>
      </c>
      <c r="N24" s="134" t="s">
        <v>190</v>
      </c>
      <c r="O24" s="110" t="s">
        <v>251</v>
      </c>
    </row>
    <row r="25" spans="2:15">
      <c r="B25" s="119"/>
      <c r="C25" s="70" t="s">
        <v>188</v>
      </c>
      <c r="D25" s="74">
        <f>'A- CONCEPT1 ANALYSIS'!K45/2+'B-WEAR-REPEATABILITY'!C32</f>
        <v>3.8175583794211452</v>
      </c>
      <c r="E25" s="49" t="s">
        <v>204</v>
      </c>
      <c r="F25" s="49" t="s">
        <v>81</v>
      </c>
      <c r="G25" s="117"/>
      <c r="N25" s="135" t="s">
        <v>188</v>
      </c>
      <c r="O25" s="112" t="s">
        <v>251</v>
      </c>
    </row>
    <row r="26" spans="2:15" ht="12.6" customHeight="1" thickBot="1">
      <c r="B26" s="119"/>
      <c r="C26" s="70" t="s">
        <v>189</v>
      </c>
      <c r="D26" s="74">
        <f>'A- CONCEPT1 ANALYSIS'!K46/2+'B-WEAR-REPEATABILITY'!C33</f>
        <v>6.7719358982631714</v>
      </c>
      <c r="E26" s="49" t="s">
        <v>204</v>
      </c>
      <c r="F26" s="49" t="s">
        <v>81</v>
      </c>
      <c r="G26" s="117"/>
      <c r="N26" s="136" t="s">
        <v>189</v>
      </c>
      <c r="O26" s="115" t="s">
        <v>201</v>
      </c>
    </row>
    <row r="27" spans="2:15" ht="3.9" customHeight="1" thickBot="1">
      <c r="B27" s="119"/>
      <c r="C27" s="16"/>
      <c r="D27" s="77"/>
      <c r="E27" s="49"/>
      <c r="F27" s="49"/>
      <c r="G27" s="49"/>
      <c r="N27" s="135"/>
      <c r="O27" s="112"/>
    </row>
    <row r="28" spans="2:15" ht="14.4" customHeight="1">
      <c r="B28" s="119"/>
      <c r="C28" s="70" t="s">
        <v>226</v>
      </c>
      <c r="D28" s="101">
        <f>'A- CONCEPT1 ANALYSIS'!K51</f>
        <v>56.312534441735323</v>
      </c>
      <c r="E28" s="80" t="s">
        <v>229</v>
      </c>
      <c r="F28" s="94">
        <f>(('E-ACCURACY'!C8+'E-ACCURACY'!F8)+SQRT('E-ACCURACY'!C8^2+'E-ACCURACY'!F8^2))/2</f>
        <v>50.407534527055077</v>
      </c>
      <c r="G28" s="117" t="s">
        <v>230</v>
      </c>
      <c r="N28" s="134" t="s">
        <v>226</v>
      </c>
      <c r="O28" s="110" t="s">
        <v>201</v>
      </c>
    </row>
    <row r="29" spans="2:15">
      <c r="B29" s="119"/>
      <c r="C29" s="70" t="s">
        <v>227</v>
      </c>
      <c r="D29" s="101">
        <f>'A- CONCEPT1 ANALYSIS'!K52</f>
        <v>43.360512242138306</v>
      </c>
      <c r="E29" s="80" t="s">
        <v>229</v>
      </c>
      <c r="F29" s="94">
        <f>'E-ACCURACY'!K8</f>
        <v>3.51</v>
      </c>
      <c r="G29" s="117"/>
      <c r="N29" s="135" t="s">
        <v>227</v>
      </c>
      <c r="O29" s="112" t="s">
        <v>201</v>
      </c>
    </row>
    <row r="30" spans="2:15">
      <c r="B30" s="119"/>
      <c r="C30" s="70" t="s">
        <v>228</v>
      </c>
      <c r="D30" s="101">
        <f>'A- CONCEPT1 ANALYSIS'!K53</f>
        <v>43.360512242138306</v>
      </c>
      <c r="E30" s="80" t="s">
        <v>229</v>
      </c>
      <c r="F30" s="94">
        <f>'E-ACCURACY'!K8</f>
        <v>3.51</v>
      </c>
      <c r="G30" s="117"/>
      <c r="N30" s="135" t="s">
        <v>228</v>
      </c>
      <c r="O30" s="112" t="s">
        <v>250</v>
      </c>
    </row>
    <row r="31" spans="2:15" ht="12.6" customHeight="1">
      <c r="B31" s="119"/>
      <c r="C31" s="70" t="s">
        <v>223</v>
      </c>
      <c r="D31" s="76">
        <f>'A- CONCEPT1 ANALYSIS'!K44</f>
        <v>1.2762311730282978</v>
      </c>
      <c r="E31" s="73" t="s">
        <v>201</v>
      </c>
      <c r="F31" s="102">
        <v>3.8</v>
      </c>
      <c r="G31" s="117"/>
      <c r="N31" s="135" t="s">
        <v>223</v>
      </c>
      <c r="O31" s="112" t="s">
        <v>201</v>
      </c>
    </row>
    <row r="32" spans="2:15">
      <c r="B32" s="119"/>
      <c r="C32" s="70" t="s">
        <v>224</v>
      </c>
      <c r="D32" s="76">
        <f>'A- CONCEPT1 ANALYSIS'!K45</f>
        <v>3.4218177455441676</v>
      </c>
      <c r="E32" s="80" t="s">
        <v>201</v>
      </c>
      <c r="F32" s="102">
        <v>4.9000000000000004</v>
      </c>
      <c r="G32" s="117"/>
      <c r="N32" s="135" t="s">
        <v>224</v>
      </c>
      <c r="O32" s="112" t="s">
        <v>201</v>
      </c>
    </row>
    <row r="33" spans="2:15" ht="11.7" thickBot="1">
      <c r="B33" s="119"/>
      <c r="C33" s="70" t="s">
        <v>225</v>
      </c>
      <c r="D33" s="76">
        <f>'A- CONCEPT1 ANALYSIS'!K46</f>
        <v>6.1690666920335904</v>
      </c>
      <c r="E33" s="49" t="s">
        <v>201</v>
      </c>
      <c r="F33" s="102">
        <v>8.5</v>
      </c>
      <c r="G33" s="117"/>
      <c r="N33" s="136" t="s">
        <v>225</v>
      </c>
      <c r="O33" s="115" t="s">
        <v>250</v>
      </c>
    </row>
    <row r="34" spans="2:15" ht="2.4" customHeight="1">
      <c r="B34" s="119"/>
      <c r="D34" s="75"/>
      <c r="E34" s="49"/>
      <c r="F34" s="49"/>
      <c r="G34" s="49"/>
      <c r="N34" s="135"/>
      <c r="O34" s="112"/>
    </row>
    <row r="35" spans="2:15" ht="11.7" thickBot="1">
      <c r="B35" s="120"/>
      <c r="C35" s="6" t="s">
        <v>191</v>
      </c>
      <c r="D35" s="74">
        <f>'A- CONCEPT1 ANALYSIS'!K8-'A- CONCEPT1 ANALYSIS'!C9</f>
        <v>130</v>
      </c>
      <c r="E35" s="49" t="s">
        <v>202</v>
      </c>
      <c r="F35" s="107">
        <v>130</v>
      </c>
      <c r="G35" s="49" t="s">
        <v>81</v>
      </c>
      <c r="N35" s="136" t="s">
        <v>191</v>
      </c>
      <c r="O35" s="115" t="s">
        <v>202</v>
      </c>
    </row>
    <row r="36" spans="2:15" ht="57" customHeight="1">
      <c r="B36" s="27" t="s">
        <v>16</v>
      </c>
      <c r="C36" s="50"/>
      <c r="D36" s="62" t="s">
        <v>106</v>
      </c>
      <c r="E36" s="53"/>
      <c r="F36" s="53"/>
      <c r="G36" s="53"/>
      <c r="H36" s="18"/>
    </row>
    <row r="37" spans="2:15" ht="75.599999999999994" customHeight="1">
      <c r="B37" s="63" t="s">
        <v>11</v>
      </c>
      <c r="C37" s="13"/>
      <c r="D37" s="71" t="s">
        <v>186</v>
      </c>
      <c r="E37" s="17"/>
      <c r="F37" s="17"/>
      <c r="G37" s="17"/>
    </row>
    <row r="38" spans="2:15" ht="66.900000000000006" customHeight="1">
      <c r="B38" s="15" t="s">
        <v>12</v>
      </c>
      <c r="C38" s="7"/>
      <c r="D38" s="72" t="s">
        <v>187</v>
      </c>
      <c r="E38" s="29"/>
      <c r="F38" s="29"/>
      <c r="G38" s="29"/>
    </row>
    <row r="39" spans="2:15" ht="49.8">
      <c r="B39" s="54" t="s">
        <v>15</v>
      </c>
      <c r="C39" s="55"/>
      <c r="D39" s="56" t="s">
        <v>128</v>
      </c>
      <c r="E39" s="57"/>
      <c r="F39" s="57"/>
      <c r="G39" s="57"/>
    </row>
    <row r="41" spans="2:15">
      <c r="D41" s="59" t="s">
        <v>129</v>
      </c>
      <c r="H41" s="45"/>
      <c r="I41" s="45"/>
      <c r="J41" s="45"/>
      <c r="K41" s="45"/>
    </row>
    <row r="52" spans="8:10" ht="11.7" thickBot="1"/>
    <row r="53" spans="8:10">
      <c r="H53" s="108" t="s">
        <v>249</v>
      </c>
      <c r="I53" s="109"/>
      <c r="J53" s="110"/>
    </row>
    <row r="54" spans="8:10">
      <c r="H54" s="111" t="s">
        <v>243</v>
      </c>
      <c r="I54" s="69">
        <v>4</v>
      </c>
      <c r="J54" s="112" t="s">
        <v>71</v>
      </c>
    </row>
    <row r="55" spans="8:10">
      <c r="H55" s="111" t="s">
        <v>244</v>
      </c>
      <c r="I55" s="69">
        <v>4</v>
      </c>
      <c r="J55" s="112" t="s">
        <v>71</v>
      </c>
    </row>
    <row r="56" spans="8:10">
      <c r="H56" s="111" t="s">
        <v>245</v>
      </c>
      <c r="I56" s="69">
        <v>5</v>
      </c>
      <c r="J56" s="112" t="s">
        <v>71</v>
      </c>
    </row>
    <row r="57" spans="8:10">
      <c r="H57" s="111"/>
      <c r="I57" s="69"/>
      <c r="J57" s="112"/>
    </row>
    <row r="58" spans="8:10">
      <c r="H58" s="111" t="s">
        <v>246</v>
      </c>
      <c r="I58" s="69">
        <v>5</v>
      </c>
      <c r="J58" s="112" t="s">
        <v>26</v>
      </c>
    </row>
    <row r="59" spans="8:10">
      <c r="H59" s="111" t="s">
        <v>247</v>
      </c>
      <c r="I59" s="69">
        <v>1</v>
      </c>
      <c r="J59" s="112" t="s">
        <v>26</v>
      </c>
    </row>
    <row r="60" spans="8:10" ht="11.7" thickBot="1">
      <c r="H60" s="113" t="s">
        <v>248</v>
      </c>
      <c r="I60" s="114">
        <v>1</v>
      </c>
      <c r="J60" s="115" t="s">
        <v>26</v>
      </c>
    </row>
    <row r="78" spans="10:14">
      <c r="J78" s="69"/>
      <c r="K78" s="69"/>
      <c r="L78" s="69"/>
      <c r="M78" s="69"/>
      <c r="N78" s="69"/>
    </row>
    <row r="79" spans="10:14">
      <c r="J79" s="69"/>
      <c r="K79" s="69"/>
      <c r="L79" s="69"/>
      <c r="M79" s="69"/>
      <c r="N79" s="69"/>
    </row>
    <row r="80" spans="10:14">
      <c r="J80" s="69"/>
      <c r="K80" s="69"/>
      <c r="L80" s="69"/>
      <c r="M80" s="69"/>
      <c r="N80" s="69"/>
    </row>
    <row r="81" spans="10:14">
      <c r="J81" s="69"/>
      <c r="K81" s="69"/>
      <c r="L81" s="69"/>
      <c r="M81" s="69"/>
      <c r="N81" s="69"/>
    </row>
    <row r="82" spans="10:14">
      <c r="J82" s="69"/>
      <c r="K82" s="69"/>
      <c r="L82" s="69"/>
      <c r="M82" s="69"/>
      <c r="N82" s="69"/>
    </row>
    <row r="83" spans="10:14">
      <c r="J83" s="69"/>
      <c r="K83" s="82"/>
      <c r="L83" s="69"/>
      <c r="M83" s="69"/>
      <c r="N83" s="69"/>
    </row>
    <row r="84" spans="10:14">
      <c r="J84" s="69"/>
      <c r="K84" s="69"/>
      <c r="L84" s="69"/>
      <c r="M84" s="69"/>
      <c r="N84" s="69"/>
    </row>
    <row r="85" spans="10:14">
      <c r="J85" s="69"/>
      <c r="K85" s="69"/>
      <c r="L85" s="69"/>
      <c r="M85" s="69"/>
      <c r="N85" s="69"/>
    </row>
    <row r="86" spans="10:14">
      <c r="J86" s="69"/>
      <c r="K86" s="69"/>
      <c r="L86" s="69"/>
      <c r="M86" s="69"/>
      <c r="N86" s="69"/>
    </row>
    <row r="87" spans="10:14">
      <c r="J87" s="69"/>
      <c r="K87" s="69"/>
      <c r="L87" s="69"/>
      <c r="M87" s="69"/>
      <c r="N87" s="69"/>
    </row>
    <row r="88" spans="10:14">
      <c r="J88" s="69"/>
      <c r="K88" s="82"/>
      <c r="L88" s="69"/>
      <c r="M88" s="69"/>
      <c r="N88" s="69"/>
    </row>
    <row r="89" spans="10:14">
      <c r="J89" s="69"/>
      <c r="K89" s="69"/>
      <c r="L89" s="69"/>
      <c r="M89" s="69"/>
      <c r="N89" s="69"/>
    </row>
    <row r="90" spans="10:14">
      <c r="J90" s="69"/>
      <c r="K90" s="69"/>
      <c r="L90" s="69"/>
      <c r="M90" s="69"/>
      <c r="N90" s="69"/>
    </row>
    <row r="91" spans="10:14">
      <c r="J91" s="69"/>
      <c r="K91" s="69"/>
      <c r="L91" s="69"/>
      <c r="M91" s="69"/>
      <c r="N91" s="69"/>
    </row>
    <row r="92" spans="10:14">
      <c r="J92" s="69"/>
      <c r="K92" s="69"/>
      <c r="L92" s="69"/>
      <c r="M92" s="69"/>
      <c r="N92" s="69"/>
    </row>
    <row r="93" spans="10:14">
      <c r="J93" s="69"/>
      <c r="K93" s="82"/>
      <c r="L93" s="82"/>
      <c r="M93" s="69"/>
      <c r="N93" s="69"/>
    </row>
    <row r="94" spans="10:14">
      <c r="J94" s="69"/>
      <c r="K94" s="69"/>
      <c r="L94" s="81"/>
      <c r="M94" s="69"/>
      <c r="N94" s="69"/>
    </row>
    <row r="95" spans="10:14">
      <c r="J95" s="69"/>
      <c r="K95" s="69"/>
      <c r="L95" s="81"/>
      <c r="M95" s="69"/>
      <c r="N95" s="69"/>
    </row>
    <row r="96" spans="10:14">
      <c r="J96" s="69"/>
      <c r="K96" s="16"/>
      <c r="L96" s="81"/>
      <c r="M96" s="69"/>
      <c r="N96" s="69"/>
    </row>
    <row r="97" spans="10:14">
      <c r="J97" s="69"/>
      <c r="K97" s="69"/>
      <c r="L97" s="81"/>
      <c r="M97" s="69"/>
      <c r="N97" s="69"/>
    </row>
    <row r="98" spans="10:14">
      <c r="J98" s="69"/>
      <c r="K98" s="16"/>
      <c r="L98" s="81"/>
      <c r="M98" s="69"/>
      <c r="N98" s="69"/>
    </row>
    <row r="99" spans="10:14">
      <c r="J99" s="69"/>
      <c r="K99" s="28"/>
      <c r="L99" s="81"/>
      <c r="M99" s="69"/>
      <c r="N99" s="69"/>
    </row>
    <row r="100" spans="10:14">
      <c r="J100" s="69"/>
      <c r="K100" s="28"/>
      <c r="L100" s="81"/>
      <c r="M100" s="69"/>
      <c r="N100" s="69"/>
    </row>
    <row r="101" spans="10:14">
      <c r="J101" s="69"/>
      <c r="K101" s="69"/>
      <c r="L101" s="69"/>
      <c r="M101" s="69"/>
      <c r="N101" s="69"/>
    </row>
    <row r="102" spans="10:14">
      <c r="J102" s="69"/>
      <c r="K102" s="69"/>
      <c r="L102" s="69"/>
      <c r="M102" s="69"/>
      <c r="N102" s="69"/>
    </row>
    <row r="103" spans="10:14">
      <c r="J103" s="69"/>
      <c r="K103" s="69"/>
      <c r="L103" s="69"/>
      <c r="M103" s="69"/>
      <c r="N103" s="69"/>
    </row>
    <row r="104" spans="10:14">
      <c r="J104" s="69"/>
      <c r="K104" s="69"/>
      <c r="L104" s="69"/>
      <c r="M104" s="69"/>
      <c r="N104" s="69"/>
    </row>
  </sheetData>
  <mergeCells count="4">
    <mergeCell ref="G24:G26"/>
    <mergeCell ref="B16:B35"/>
    <mergeCell ref="C1:E1"/>
    <mergeCell ref="G28:G33"/>
  </mergeCells>
  <pageMargins left="0.7" right="0.7" top="0.75" bottom="0.75" header="0.3" footer="0.3"/>
  <pageSetup orientation="landscape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5"/>
  <sheetViews>
    <sheetView topLeftCell="A27" zoomScale="70" zoomScaleNormal="70" workbookViewId="0">
      <selection activeCell="N45" sqref="N45"/>
    </sheetView>
  </sheetViews>
  <sheetFormatPr defaultColWidth="8.89453125" defaultRowHeight="12.3"/>
  <cols>
    <col min="1" max="1" width="16.3671875" style="1" customWidth="1"/>
    <col min="2" max="2" width="33.83984375" style="1" customWidth="1"/>
    <col min="3" max="3" width="12.83984375" style="1" bestFit="1" customWidth="1"/>
    <col min="4" max="4" width="8.89453125" style="1"/>
    <col min="5" max="5" width="4.68359375" style="1" customWidth="1"/>
    <col min="6" max="6" width="37.68359375" style="1" customWidth="1"/>
    <col min="7" max="7" width="9.89453125" style="1" bestFit="1" customWidth="1"/>
    <col min="8" max="8" width="8.89453125" style="1"/>
    <col min="9" max="9" width="5.15625" style="1" customWidth="1"/>
    <col min="10" max="10" width="23.83984375" style="1" customWidth="1"/>
    <col min="11" max="11" width="9.20703125" style="1" customWidth="1"/>
    <col min="12" max="12" width="8.89453125" style="1"/>
    <col min="13" max="13" width="5" style="1" customWidth="1"/>
    <col min="14" max="14" width="19.89453125" style="1" customWidth="1"/>
    <col min="15" max="15" width="8.26171875" style="1" bestFit="1" customWidth="1"/>
    <col min="16" max="16384" width="8.89453125" style="1"/>
  </cols>
  <sheetData>
    <row r="1" spans="1:31" ht="12.3" customHeight="1">
      <c r="B1" s="127" t="s">
        <v>75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31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31" ht="14.4" customHeight="1">
      <c r="J3" s="35"/>
      <c r="K3" s="35"/>
      <c r="L3" s="35"/>
      <c r="AB3" s="58"/>
      <c r="AC3" s="58"/>
      <c r="AD3" s="58"/>
      <c r="AE3" s="33"/>
    </row>
    <row r="4" spans="1:31">
      <c r="A4" s="130" t="s">
        <v>100</v>
      </c>
      <c r="B4" s="123" t="s">
        <v>59</v>
      </c>
      <c r="C4" s="123"/>
      <c r="D4" s="123"/>
      <c r="F4" s="123" t="s">
        <v>135</v>
      </c>
      <c r="G4" s="123"/>
      <c r="H4" s="123"/>
      <c r="J4" s="123" t="s">
        <v>60</v>
      </c>
      <c r="K4" s="123"/>
      <c r="L4" s="123"/>
      <c r="N4" s="123" t="s">
        <v>76</v>
      </c>
      <c r="O4" s="123"/>
      <c r="P4" s="123"/>
    </row>
    <row r="5" spans="1:31">
      <c r="A5" s="130"/>
      <c r="B5" s="1" t="s">
        <v>61</v>
      </c>
      <c r="C5" s="1">
        <v>70</v>
      </c>
      <c r="D5" s="1" t="s">
        <v>1</v>
      </c>
      <c r="F5" s="1" t="s">
        <v>72</v>
      </c>
      <c r="G5" s="5">
        <v>10</v>
      </c>
      <c r="H5" s="1" t="s">
        <v>1</v>
      </c>
      <c r="J5" s="1" t="s">
        <v>66</v>
      </c>
      <c r="K5" s="4">
        <f>0.5*25.4</f>
        <v>12.7</v>
      </c>
      <c r="L5" s="1" t="s">
        <v>1</v>
      </c>
      <c r="N5" s="1" t="s">
        <v>134</v>
      </c>
      <c r="O5" s="3">
        <v>35</v>
      </c>
      <c r="P5" s="1" t="s">
        <v>1</v>
      </c>
    </row>
    <row r="6" spans="1:31">
      <c r="A6" s="130"/>
      <c r="B6" s="1" t="s">
        <v>62</v>
      </c>
      <c r="C6" s="1">
        <v>15</v>
      </c>
      <c r="D6" s="1" t="s">
        <v>1</v>
      </c>
      <c r="F6" s="1" t="s">
        <v>73</v>
      </c>
      <c r="G6" s="5">
        <f>C9</f>
        <v>70</v>
      </c>
      <c r="H6" s="1" t="s">
        <v>1</v>
      </c>
      <c r="J6" s="1" t="s">
        <v>67</v>
      </c>
      <c r="K6" s="4">
        <v>5</v>
      </c>
      <c r="L6" s="1" t="s">
        <v>1</v>
      </c>
      <c r="N6" s="1" t="s">
        <v>133</v>
      </c>
      <c r="O6" s="3">
        <v>55</v>
      </c>
      <c r="P6" s="1" t="s">
        <v>1</v>
      </c>
    </row>
    <row r="7" spans="1:31">
      <c r="A7" s="130"/>
      <c r="B7" s="1" t="s">
        <v>63</v>
      </c>
      <c r="C7" s="5">
        <v>15</v>
      </c>
      <c r="D7" s="1" t="s">
        <v>1</v>
      </c>
      <c r="F7" s="1" t="s">
        <v>74</v>
      </c>
      <c r="G7" s="5">
        <v>6</v>
      </c>
      <c r="H7" s="1" t="s">
        <v>1</v>
      </c>
      <c r="J7" s="1" t="s">
        <v>183</v>
      </c>
      <c r="K7" s="1">
        <f>16+2*K6</f>
        <v>26</v>
      </c>
      <c r="L7" s="1" t="s">
        <v>1</v>
      </c>
    </row>
    <row r="8" spans="1:31">
      <c r="A8" s="130"/>
      <c r="B8" s="1" t="s">
        <v>68</v>
      </c>
      <c r="C8" s="5">
        <v>6</v>
      </c>
      <c r="D8" s="1" t="s">
        <v>1</v>
      </c>
      <c r="J8" s="1" t="s">
        <v>23</v>
      </c>
      <c r="K8" s="1">
        <v>200</v>
      </c>
      <c r="L8" s="1" t="s">
        <v>1</v>
      </c>
      <c r="N8" s="128" t="s">
        <v>28</v>
      </c>
      <c r="O8" s="128"/>
      <c r="P8" s="128"/>
    </row>
    <row r="9" spans="1:31">
      <c r="A9" s="130"/>
      <c r="B9" s="1" t="s">
        <v>65</v>
      </c>
      <c r="C9" s="5">
        <v>70</v>
      </c>
      <c r="D9" s="1" t="s">
        <v>1</v>
      </c>
      <c r="F9" s="123" t="s">
        <v>146</v>
      </c>
      <c r="G9" s="123"/>
      <c r="H9" s="123"/>
      <c r="J9" s="1" t="s">
        <v>64</v>
      </c>
      <c r="K9" s="4">
        <f>C10</f>
        <v>60</v>
      </c>
      <c r="L9" s="1" t="s">
        <v>17</v>
      </c>
      <c r="N9" s="36" t="s">
        <v>29</v>
      </c>
      <c r="O9" s="1" t="s">
        <v>13</v>
      </c>
    </row>
    <row r="10" spans="1:31">
      <c r="A10" s="130"/>
      <c r="B10" s="1" t="s">
        <v>64</v>
      </c>
      <c r="C10" s="5">
        <v>60</v>
      </c>
      <c r="D10" s="23" t="s">
        <v>17</v>
      </c>
      <c r="F10" s="1" t="s">
        <v>72</v>
      </c>
      <c r="G10" s="5">
        <f>C7</f>
        <v>15</v>
      </c>
      <c r="H10" s="1" t="s">
        <v>1</v>
      </c>
      <c r="N10" s="1" t="s">
        <v>30</v>
      </c>
      <c r="O10" s="1">
        <v>110</v>
      </c>
      <c r="P10" s="1" t="s">
        <v>51</v>
      </c>
    </row>
    <row r="11" spans="1:31">
      <c r="A11" s="130"/>
      <c r="C11" s="5"/>
      <c r="F11" s="1" t="s">
        <v>73</v>
      </c>
      <c r="G11" s="5">
        <f>C9</f>
        <v>70</v>
      </c>
      <c r="H11" s="1" t="s">
        <v>1</v>
      </c>
      <c r="J11" s="123" t="s">
        <v>99</v>
      </c>
      <c r="K11" s="123"/>
      <c r="L11" s="123"/>
      <c r="N11" s="1" t="s">
        <v>31</v>
      </c>
      <c r="O11" s="1">
        <v>83</v>
      </c>
      <c r="P11" s="1" t="s">
        <v>51</v>
      </c>
    </row>
    <row r="12" spans="1:31">
      <c r="A12" s="130"/>
      <c r="B12" s="123" t="s">
        <v>136</v>
      </c>
      <c r="C12" s="123"/>
      <c r="D12" s="123"/>
      <c r="F12" s="1" t="s">
        <v>74</v>
      </c>
      <c r="G12" s="5">
        <v>6</v>
      </c>
      <c r="H12" s="1" t="s">
        <v>1</v>
      </c>
      <c r="J12" s="1" t="s">
        <v>7</v>
      </c>
      <c r="K12" s="5">
        <v>2700</v>
      </c>
      <c r="L12" s="1" t="s">
        <v>0</v>
      </c>
      <c r="N12" s="1" t="s">
        <v>32</v>
      </c>
      <c r="O12" s="1">
        <v>83</v>
      </c>
      <c r="P12" s="1" t="s">
        <v>51</v>
      </c>
    </row>
    <row r="13" spans="1:31">
      <c r="A13" s="130"/>
      <c r="B13" s="1" t="s">
        <v>7</v>
      </c>
      <c r="C13" s="5">
        <v>2700</v>
      </c>
      <c r="D13" s="1" t="s">
        <v>0</v>
      </c>
      <c r="J13" s="1" t="s">
        <v>8</v>
      </c>
      <c r="K13" s="1">
        <v>69</v>
      </c>
      <c r="L13" s="1" t="s">
        <v>10</v>
      </c>
      <c r="N13" s="36" t="s">
        <v>33</v>
      </c>
      <c r="O13" s="1" t="s">
        <v>13</v>
      </c>
    </row>
    <row r="14" spans="1:31">
      <c r="A14" s="130"/>
      <c r="B14" s="1" t="s">
        <v>8</v>
      </c>
      <c r="C14" s="1">
        <v>69</v>
      </c>
      <c r="D14" s="1" t="s">
        <v>10</v>
      </c>
      <c r="F14" s="123" t="s">
        <v>137</v>
      </c>
      <c r="G14" s="123"/>
      <c r="H14" s="123"/>
      <c r="J14" s="1" t="s">
        <v>70</v>
      </c>
      <c r="K14" s="5">
        <f>K13/(2*(1+K16))</f>
        <v>26.744186046511626</v>
      </c>
      <c r="L14" s="1" t="s">
        <v>10</v>
      </c>
      <c r="N14" s="1" t="s">
        <v>30</v>
      </c>
      <c r="O14" s="1">
        <v>53</v>
      </c>
      <c r="P14" s="1" t="s">
        <v>51</v>
      </c>
    </row>
    <row r="15" spans="1:31">
      <c r="A15" s="130"/>
      <c r="B15" s="1" t="s">
        <v>70</v>
      </c>
      <c r="C15" s="5">
        <f>C14/(2*(1+C17))</f>
        <v>26.744186046511626</v>
      </c>
      <c r="D15" s="1" t="s">
        <v>10</v>
      </c>
      <c r="F15" s="1" t="s">
        <v>7</v>
      </c>
      <c r="G15" s="5">
        <v>8600</v>
      </c>
      <c r="H15" s="1" t="s">
        <v>0</v>
      </c>
      <c r="J15" s="1" t="s">
        <v>9</v>
      </c>
      <c r="K15" s="1">
        <v>200</v>
      </c>
      <c r="L15" s="1" t="s">
        <v>2</v>
      </c>
      <c r="N15" s="1" t="s">
        <v>31</v>
      </c>
      <c r="O15" s="1">
        <v>41</v>
      </c>
      <c r="P15" s="1" t="s">
        <v>51</v>
      </c>
    </row>
    <row r="16" spans="1:31">
      <c r="A16" s="130"/>
      <c r="B16" s="1" t="s">
        <v>9</v>
      </c>
      <c r="C16" s="1">
        <v>200</v>
      </c>
      <c r="D16" s="1" t="s">
        <v>2</v>
      </c>
      <c r="F16" s="1" t="s">
        <v>8</v>
      </c>
      <c r="G16" s="1">
        <v>110</v>
      </c>
      <c r="H16" s="1" t="s">
        <v>10</v>
      </c>
      <c r="J16" s="1" t="s">
        <v>14</v>
      </c>
      <c r="K16" s="1">
        <v>0.28999999999999998</v>
      </c>
      <c r="L16" s="1" t="s">
        <v>81</v>
      </c>
      <c r="N16" s="1" t="s">
        <v>32</v>
      </c>
      <c r="O16" s="1">
        <v>41</v>
      </c>
      <c r="P16" s="1" t="s">
        <v>51</v>
      </c>
    </row>
    <row r="17" spans="1:16">
      <c r="A17" s="130"/>
      <c r="B17" s="1" t="s">
        <v>14</v>
      </c>
      <c r="C17" s="1">
        <v>0.28999999999999998</v>
      </c>
      <c r="F17" s="1" t="s">
        <v>70</v>
      </c>
      <c r="G17" s="5">
        <f>G16/(2*(1+G19))</f>
        <v>40</v>
      </c>
      <c r="H17" s="1" t="s">
        <v>10</v>
      </c>
      <c r="J17" s="33"/>
      <c r="N17" s="36" t="s">
        <v>34</v>
      </c>
      <c r="O17" s="1" t="s">
        <v>13</v>
      </c>
    </row>
    <row r="18" spans="1:16">
      <c r="A18" s="130"/>
      <c r="F18" s="1" t="s">
        <v>9</v>
      </c>
      <c r="G18" s="1">
        <v>290</v>
      </c>
      <c r="H18" s="1" t="s">
        <v>2</v>
      </c>
      <c r="J18" s="123" t="s">
        <v>147</v>
      </c>
      <c r="K18" s="123"/>
      <c r="L18" s="123"/>
      <c r="N18" s="1" t="s">
        <v>30</v>
      </c>
      <c r="O18" s="1">
        <v>9</v>
      </c>
      <c r="P18" s="1" t="s">
        <v>51</v>
      </c>
    </row>
    <row r="19" spans="1:16">
      <c r="A19" s="130"/>
      <c r="B19" s="123" t="s">
        <v>144</v>
      </c>
      <c r="C19" s="123"/>
      <c r="D19" s="123"/>
      <c r="F19" s="1" t="s">
        <v>14</v>
      </c>
      <c r="G19" s="1">
        <v>0.375</v>
      </c>
      <c r="H19" s="1" t="s">
        <v>81</v>
      </c>
      <c r="J19" s="1" t="s">
        <v>148</v>
      </c>
      <c r="K19" s="1">
        <v>200</v>
      </c>
      <c r="L19" s="1" t="s">
        <v>1</v>
      </c>
      <c r="N19" s="1" t="s">
        <v>31</v>
      </c>
      <c r="O19" s="1">
        <v>7</v>
      </c>
      <c r="P19" s="1" t="s">
        <v>51</v>
      </c>
    </row>
    <row r="20" spans="1:16">
      <c r="A20" s="130"/>
      <c r="B20" s="1" t="s">
        <v>197</v>
      </c>
      <c r="C20" s="5">
        <v>6.35</v>
      </c>
      <c r="D20" s="1" t="s">
        <v>1</v>
      </c>
      <c r="F20" s="1" t="s">
        <v>184</v>
      </c>
      <c r="G20" s="1">
        <v>0.4</v>
      </c>
      <c r="H20" s="1" t="s">
        <v>81</v>
      </c>
      <c r="J20" s="1" t="s">
        <v>149</v>
      </c>
      <c r="K20" s="3">
        <v>8</v>
      </c>
      <c r="L20" s="1" t="s">
        <v>1</v>
      </c>
      <c r="N20" s="1" t="s">
        <v>32</v>
      </c>
      <c r="O20" s="1">
        <v>7</v>
      </c>
      <c r="P20" s="1" t="s">
        <v>51</v>
      </c>
    </row>
    <row r="21" spans="1:16">
      <c r="A21" s="130"/>
      <c r="B21" s="1" t="s">
        <v>198</v>
      </c>
      <c r="C21" s="5">
        <f>PI()*C20^2/4</f>
        <v>31.669217443593606</v>
      </c>
      <c r="D21" s="1" t="s">
        <v>18</v>
      </c>
    </row>
    <row r="22" spans="1:16" ht="14.4" customHeight="1">
      <c r="A22" s="130"/>
      <c r="B22" s="1" t="s">
        <v>145</v>
      </c>
      <c r="C22" s="3">
        <f>25.4*3/32</f>
        <v>2.3812499999999996</v>
      </c>
      <c r="D22" s="1" t="s">
        <v>1</v>
      </c>
      <c r="J22" s="123" t="s">
        <v>153</v>
      </c>
      <c r="K22" s="123"/>
      <c r="L22" s="123"/>
    </row>
    <row r="23" spans="1:16">
      <c r="A23" s="130"/>
      <c r="F23" s="123" t="s">
        <v>138</v>
      </c>
      <c r="G23" s="123"/>
      <c r="H23" s="123"/>
      <c r="J23" s="1" t="s">
        <v>7</v>
      </c>
      <c r="K23" s="5">
        <v>7500</v>
      </c>
      <c r="L23" s="1" t="s">
        <v>0</v>
      </c>
    </row>
    <row r="24" spans="1:16">
      <c r="A24" s="130"/>
      <c r="B24" s="123" t="s">
        <v>151</v>
      </c>
      <c r="C24" s="123"/>
      <c r="D24" s="123"/>
      <c r="F24" s="1" t="s">
        <v>139</v>
      </c>
      <c r="G24" s="5">
        <f>G6/(3*G7)-1</f>
        <v>2.8888888888888888</v>
      </c>
      <c r="H24" s="1" t="s">
        <v>81</v>
      </c>
      <c r="J24" s="1" t="s">
        <v>8</v>
      </c>
      <c r="K24" s="1">
        <v>200</v>
      </c>
      <c r="L24" s="1" t="s">
        <v>10</v>
      </c>
    </row>
    <row r="25" spans="1:16">
      <c r="A25" s="130"/>
      <c r="B25" s="1" t="s">
        <v>7</v>
      </c>
      <c r="C25" s="5">
        <v>2200</v>
      </c>
      <c r="D25" s="1" t="s">
        <v>0</v>
      </c>
      <c r="F25" s="1" t="s">
        <v>140</v>
      </c>
      <c r="G25" s="3">
        <f>0.4*9.81*0.45/(25.4*0.011)</f>
        <v>6.3199713672154632</v>
      </c>
      <c r="H25" s="1" t="s">
        <v>141</v>
      </c>
      <c r="J25" s="1" t="s">
        <v>70</v>
      </c>
      <c r="K25" s="5">
        <f>K24/(2*(1+K27))</f>
        <v>77.519379844961236</v>
      </c>
      <c r="L25" s="1" t="s">
        <v>10</v>
      </c>
    </row>
    <row r="26" spans="1:16">
      <c r="A26" s="130"/>
      <c r="B26" s="1" t="s">
        <v>8</v>
      </c>
      <c r="C26" s="1">
        <v>0.2</v>
      </c>
      <c r="D26" s="1" t="s">
        <v>10</v>
      </c>
      <c r="F26" s="1" t="s">
        <v>150</v>
      </c>
      <c r="G26" s="3">
        <f>G24*G25*0.011*25.4</f>
        <v>5.1012000000000004</v>
      </c>
      <c r="H26" s="1" t="s">
        <v>51</v>
      </c>
      <c r="J26" s="1" t="s">
        <v>9</v>
      </c>
      <c r="K26" s="1">
        <v>500</v>
      </c>
      <c r="L26" s="1" t="s">
        <v>2</v>
      </c>
    </row>
    <row r="27" spans="1:16">
      <c r="A27" s="130"/>
      <c r="B27" s="1" t="s">
        <v>9</v>
      </c>
      <c r="C27" s="1">
        <v>30</v>
      </c>
      <c r="D27" s="1" t="s">
        <v>2</v>
      </c>
      <c r="G27" s="3"/>
      <c r="J27" s="1" t="s">
        <v>14</v>
      </c>
      <c r="K27" s="1">
        <v>0.28999999999999998</v>
      </c>
      <c r="L27" s="1" t="s">
        <v>81</v>
      </c>
    </row>
    <row r="28" spans="1:16">
      <c r="A28" s="130"/>
      <c r="B28" s="1" t="s">
        <v>14</v>
      </c>
      <c r="C28" s="1">
        <v>0.28999999999999998</v>
      </c>
      <c r="D28" s="1" t="s">
        <v>81</v>
      </c>
      <c r="G28" s="3"/>
    </row>
    <row r="29" spans="1:16">
      <c r="A29" s="130"/>
      <c r="B29" s="1" t="s">
        <v>184</v>
      </c>
      <c r="C29" s="1">
        <v>0.2</v>
      </c>
      <c r="D29" s="1" t="s">
        <v>81</v>
      </c>
      <c r="G29" s="3"/>
    </row>
    <row r="30" spans="1:16">
      <c r="A30" s="48"/>
      <c r="G30" s="5"/>
    </row>
    <row r="31" spans="1:16">
      <c r="A31" s="48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1:16">
      <c r="A32" s="48"/>
    </row>
    <row r="33" spans="1:16">
      <c r="A33" s="130" t="s">
        <v>154</v>
      </c>
      <c r="B33" s="123" t="s">
        <v>69</v>
      </c>
      <c r="C33" s="123"/>
      <c r="D33" s="123"/>
      <c r="F33" s="123" t="s">
        <v>93</v>
      </c>
      <c r="G33" s="123"/>
      <c r="H33" s="123"/>
      <c r="J33" s="123" t="s">
        <v>91</v>
      </c>
      <c r="K33" s="123"/>
      <c r="L33" s="123"/>
    </row>
    <row r="34" spans="1:16">
      <c r="A34" s="130"/>
      <c r="B34" s="1" t="s">
        <v>142</v>
      </c>
      <c r="C34" s="5">
        <f>((1/(2*K14*1000*C9*K6/K5)+1/(2*(C15*1000*C8*C9/C7))+1/((C14*1000*C6*C9/C5))+1/((G16*1000*G11*G10/G12)))^(-1)+4*G25)/1000</f>
        <v>422.99801474294406</v>
      </c>
      <c r="D34" s="1" t="s">
        <v>71</v>
      </c>
      <c r="F34" s="1" t="s">
        <v>82</v>
      </c>
      <c r="G34" s="66">
        <f>-O19/C37</f>
        <v>-0.13926057520540844</v>
      </c>
      <c r="H34" s="1" t="s">
        <v>80</v>
      </c>
      <c r="J34" s="1" t="s">
        <v>159</v>
      </c>
      <c r="K34" s="42">
        <f>G39*0.001*O5-G38*0.001*O6+G34</f>
        <v>1.2762311730282978</v>
      </c>
      <c r="L34" s="33" t="s">
        <v>80</v>
      </c>
    </row>
    <row r="35" spans="1:16">
      <c r="A35" s="130"/>
      <c r="B35" s="1" t="s">
        <v>143</v>
      </c>
      <c r="C35" s="4">
        <f>G24*G25</f>
        <v>18.257695060844672</v>
      </c>
      <c r="D35" s="1" t="s">
        <v>141</v>
      </c>
      <c r="F35" s="1" t="s">
        <v>77</v>
      </c>
      <c r="G35" s="3">
        <f>-O20/C34</f>
        <v>-1.6548541023895587E-2</v>
      </c>
      <c r="H35" s="1" t="s">
        <v>80</v>
      </c>
      <c r="J35" s="1" t="s">
        <v>160</v>
      </c>
      <c r="K35" s="42">
        <f>G35-G41*0.001*O5</f>
        <v>-1.3094459955499671</v>
      </c>
      <c r="L35" s="33" t="s">
        <v>80</v>
      </c>
    </row>
    <row r="36" spans="1:16" ht="12.3" customHeight="1">
      <c r="A36" s="130"/>
      <c r="B36" s="1" t="s">
        <v>24</v>
      </c>
      <c r="C36" s="5">
        <f>1/((1/((2*C14*1000*C8*C9/C7)/1000+C34*COS(C10*PI()/180)))+(1/(4*C26*1000*C21/(C22*1000))))</f>
        <v>10.611823816320564</v>
      </c>
      <c r="D36" s="1" t="s">
        <v>71</v>
      </c>
      <c r="F36" s="1" t="s">
        <v>78</v>
      </c>
      <c r="G36" s="3">
        <f>-O18/C36</f>
        <v>-0.84811057512643184</v>
      </c>
      <c r="H36" s="1" t="s">
        <v>80</v>
      </c>
      <c r="J36" s="1" t="s">
        <v>161</v>
      </c>
      <c r="K36" s="3">
        <f>-G40*0.001*O5</f>
        <v>2.61218057138941</v>
      </c>
      <c r="L36" s="1" t="s">
        <v>80</v>
      </c>
    </row>
    <row r="37" spans="1:16">
      <c r="A37" s="130"/>
      <c r="B37" s="1" t="s">
        <v>152</v>
      </c>
      <c r="C37" s="5">
        <f>K24*PI()*K20^2/(4*K19)</f>
        <v>50.26548245743669</v>
      </c>
      <c r="D37" s="1" t="s">
        <v>71</v>
      </c>
      <c r="J37" s="1" t="s">
        <v>163</v>
      </c>
      <c r="K37" s="42">
        <f>G36+G40*0.001*O6</f>
        <v>-4.9529657587383618</v>
      </c>
      <c r="L37" s="33" t="s">
        <v>80</v>
      </c>
    </row>
    <row r="38" spans="1:16" ht="12.3" customHeight="1">
      <c r="A38" s="130"/>
      <c r="F38" s="1" t="s">
        <v>155</v>
      </c>
      <c r="G38" s="4">
        <f>-O19*O6/C39</f>
        <v>-2.22898715832063</v>
      </c>
      <c r="H38" s="1" t="s">
        <v>87</v>
      </c>
      <c r="J38" s="1" t="s">
        <v>162</v>
      </c>
      <c r="K38" s="42">
        <f>G41*0.001*O6</f>
        <v>2.031695999969541</v>
      </c>
      <c r="L38" s="33" t="s">
        <v>80</v>
      </c>
    </row>
    <row r="39" spans="1:16">
      <c r="A39" s="130"/>
      <c r="B39" s="24" t="s">
        <v>25</v>
      </c>
      <c r="C39" s="34">
        <f>C34*C9^2/12/1000</f>
        <v>172.72418935336881</v>
      </c>
      <c r="D39" s="1" t="s">
        <v>26</v>
      </c>
      <c r="F39" s="1" t="s">
        <v>156</v>
      </c>
      <c r="G39" s="4">
        <f>O19*O5/C40</f>
        <v>36.93992727217347</v>
      </c>
      <c r="H39" s="1" t="s">
        <v>87</v>
      </c>
      <c r="K39" s="42"/>
      <c r="L39" s="33"/>
    </row>
    <row r="40" spans="1:16">
      <c r="A40" s="130"/>
      <c r="B40" s="24" t="s">
        <v>27</v>
      </c>
      <c r="C40" s="34">
        <f>C36*(C9-20)^2/4/1000</f>
        <v>6.6323898852003529</v>
      </c>
      <c r="D40" s="1" t="s">
        <v>26</v>
      </c>
      <c r="F40" s="1" t="s">
        <v>158</v>
      </c>
      <c r="G40" s="4">
        <f>(-O18*O6)/(C41)</f>
        <v>-74.633730611125998</v>
      </c>
      <c r="H40" s="1" t="s">
        <v>87</v>
      </c>
      <c r="J40" s="1" t="s">
        <v>167</v>
      </c>
      <c r="K40" s="42">
        <f>K34</f>
        <v>1.2762311730282978</v>
      </c>
      <c r="L40" s="33" t="s">
        <v>80</v>
      </c>
    </row>
    <row r="41" spans="1:16">
      <c r="A41" s="130"/>
      <c r="B41" s="24" t="s">
        <v>35</v>
      </c>
      <c r="C41" s="34">
        <f>C36*(C5-20)^2/4/1000</f>
        <v>6.6323898852003529</v>
      </c>
      <c r="D41" s="1" t="s">
        <v>26</v>
      </c>
      <c r="F41" s="1" t="s">
        <v>157</v>
      </c>
      <c r="G41" s="4">
        <f>O20*O5/C41</f>
        <v>36.93992727217347</v>
      </c>
      <c r="H41" s="1" t="s">
        <v>87</v>
      </c>
      <c r="J41" s="1" t="s">
        <v>168</v>
      </c>
      <c r="K41" s="3">
        <f>K35+K36</f>
        <v>1.3027345758394429</v>
      </c>
      <c r="L41" s="33" t="s">
        <v>80</v>
      </c>
    </row>
    <row r="42" spans="1:16">
      <c r="A42" s="130"/>
      <c r="B42" s="24"/>
      <c r="C42" s="34"/>
      <c r="G42" s="3"/>
      <c r="J42" s="1" t="s">
        <v>169</v>
      </c>
      <c r="K42" s="3">
        <f>K37+K38</f>
        <v>-2.9212697587688208</v>
      </c>
      <c r="L42" s="1" t="s">
        <v>80</v>
      </c>
    </row>
    <row r="43" spans="1:16">
      <c r="A43" s="130"/>
      <c r="B43" s="24"/>
      <c r="C43" s="34"/>
      <c r="G43" s="3"/>
      <c r="L43" s="33"/>
    </row>
    <row r="44" spans="1:16">
      <c r="A44" s="130"/>
      <c r="B44" s="24"/>
      <c r="C44" s="34"/>
      <c r="G44" s="3"/>
      <c r="J44" s="1" t="s">
        <v>164</v>
      </c>
      <c r="K44" s="3">
        <f>ABS(K34)</f>
        <v>1.2762311730282978</v>
      </c>
      <c r="L44" s="33" t="s">
        <v>80</v>
      </c>
    </row>
    <row r="45" spans="1:16">
      <c r="A45" s="130"/>
      <c r="B45" s="24"/>
      <c r="C45" s="34"/>
      <c r="G45" s="3"/>
      <c r="J45" s="1" t="s">
        <v>165</v>
      </c>
      <c r="K45" s="3">
        <f>(ABS(K35)+ABS(K36)+SQRT(K35^2+K36^2))/2</f>
        <v>3.4218177455441676</v>
      </c>
      <c r="L45" s="33" t="s">
        <v>80</v>
      </c>
    </row>
    <row r="46" spans="1:16">
      <c r="A46" s="130"/>
      <c r="B46" s="24"/>
      <c r="C46" s="34"/>
      <c r="G46" s="3"/>
      <c r="J46" s="1" t="s">
        <v>166</v>
      </c>
      <c r="K46" s="3">
        <f>(ABS(K37)+ABS(K38)+SQRT(K37^2+K38^2))/2</f>
        <v>6.1690666920335904</v>
      </c>
      <c r="L46" s="33" t="s">
        <v>80</v>
      </c>
    </row>
    <row r="47" spans="1:16">
      <c r="A47" s="130"/>
      <c r="B47" s="24"/>
      <c r="C47" s="34"/>
      <c r="G47" s="3"/>
    </row>
    <row r="48" spans="1:16">
      <c r="A48" s="48"/>
      <c r="B48" s="43"/>
      <c r="C48" s="43"/>
      <c r="D48" s="43"/>
      <c r="E48" s="43"/>
      <c r="F48" s="43"/>
      <c r="G48" s="43"/>
      <c r="H48" s="43"/>
      <c r="I48" s="43"/>
      <c r="J48" s="43"/>
      <c r="K48" s="44"/>
      <c r="L48" s="43"/>
      <c r="M48" s="43"/>
      <c r="N48" s="43"/>
      <c r="O48" s="43"/>
      <c r="P48" s="43"/>
    </row>
    <row r="49" spans="1:16">
      <c r="A49" s="48"/>
    </row>
    <row r="50" spans="1:16">
      <c r="A50" s="129" t="s">
        <v>181</v>
      </c>
      <c r="B50" s="126" t="s">
        <v>170</v>
      </c>
      <c r="C50" s="126"/>
      <c r="D50" s="126"/>
      <c r="F50" s="126" t="s">
        <v>171</v>
      </c>
      <c r="G50" s="126"/>
      <c r="H50" s="126"/>
      <c r="J50" s="123" t="s">
        <v>92</v>
      </c>
      <c r="K50" s="123"/>
      <c r="L50" s="123"/>
    </row>
    <row r="51" spans="1:16">
      <c r="A51" s="129"/>
      <c r="B51" s="1" t="s">
        <v>177</v>
      </c>
      <c r="C51" s="3">
        <f>0.001*25.4</f>
        <v>2.5399999999999999E-2</v>
      </c>
      <c r="D51" s="1" t="s">
        <v>1</v>
      </c>
      <c r="F51" s="1" t="s">
        <v>173</v>
      </c>
      <c r="G51" s="66" t="s">
        <v>81</v>
      </c>
      <c r="H51" s="1" t="s">
        <v>80</v>
      </c>
      <c r="J51" s="1" t="s">
        <v>164</v>
      </c>
      <c r="K51" s="116">
        <f>(ABS(G56*O5)+ABS(G55*O6)+SQRT((G56*O5)^2+(G55*O6)^2))/2</f>
        <v>56.312534441735323</v>
      </c>
      <c r="L51" s="33" t="s">
        <v>80</v>
      </c>
      <c r="N51" s="125" t="s">
        <v>179</v>
      </c>
      <c r="O51" s="125"/>
      <c r="P51" s="125"/>
    </row>
    <row r="52" spans="1:16">
      <c r="A52" s="129"/>
      <c r="C52" s="3"/>
      <c r="F52" s="1" t="s">
        <v>77</v>
      </c>
      <c r="G52" s="4">
        <f>C51*1000</f>
        <v>25.4</v>
      </c>
      <c r="H52" s="1" t="s">
        <v>80</v>
      </c>
      <c r="J52" s="1" t="s">
        <v>165</v>
      </c>
      <c r="K52" s="116">
        <f>(ABS(G52)+ABS(G57*O5)+SQRT(G52^2+(G57*O5)^2))/2</f>
        <v>43.360512242138306</v>
      </c>
      <c r="L52" s="33" t="s">
        <v>80</v>
      </c>
      <c r="N52" s="125"/>
      <c r="O52" s="125"/>
      <c r="P52" s="125"/>
    </row>
    <row r="53" spans="1:16">
      <c r="A53" s="129"/>
      <c r="F53" s="1" t="s">
        <v>78</v>
      </c>
      <c r="G53" s="4">
        <f>C51*1000</f>
        <v>25.4</v>
      </c>
      <c r="H53" s="1" t="s">
        <v>80</v>
      </c>
      <c r="J53" s="1" t="s">
        <v>178</v>
      </c>
      <c r="K53" s="116">
        <f>(ABS(G53)+ABS(G57*O5)+SQRT(G53^2+(G57*O5)^2))/2</f>
        <v>43.360512242138306</v>
      </c>
      <c r="L53" s="33" t="s">
        <v>80</v>
      </c>
      <c r="N53" s="125"/>
      <c r="O53" s="125"/>
      <c r="P53" s="125"/>
    </row>
    <row r="54" spans="1:16">
      <c r="A54" s="129"/>
    </row>
    <row r="55" spans="1:16" ht="12.9">
      <c r="A55" s="129"/>
      <c r="F55" s="1" t="s">
        <v>175</v>
      </c>
      <c r="G55" s="68">
        <f>2*C51*1000/C9</f>
        <v>0.72571428571428565</v>
      </c>
      <c r="H55" s="67" t="s">
        <v>86</v>
      </c>
    </row>
    <row r="56" spans="1:16" ht="12.9">
      <c r="A56" s="129"/>
      <c r="F56" s="1" t="s">
        <v>176</v>
      </c>
      <c r="G56" s="68">
        <f>2*C51*1000/C9</f>
        <v>0.72571428571428565</v>
      </c>
      <c r="H56" s="24" t="s">
        <v>86</v>
      </c>
    </row>
    <row r="57" spans="1:16" ht="14.4" customHeight="1">
      <c r="A57" s="129"/>
      <c r="F57" s="1" t="s">
        <v>174</v>
      </c>
      <c r="G57" s="68">
        <f>2*C51*1000/C5</f>
        <v>0.72571428571428565</v>
      </c>
      <c r="H57" s="24" t="s">
        <v>86</v>
      </c>
    </row>
    <row r="58" spans="1:16" ht="12.3" customHeight="1"/>
    <row r="59" spans="1:16">
      <c r="A59" s="48"/>
      <c r="B59" s="43"/>
      <c r="C59" s="43"/>
      <c r="D59" s="43"/>
      <c r="E59" s="43"/>
      <c r="F59" s="43"/>
      <c r="G59" s="43"/>
      <c r="H59" s="43"/>
      <c r="I59" s="43"/>
      <c r="J59" s="43"/>
      <c r="K59" s="44"/>
      <c r="L59" s="43"/>
      <c r="M59" s="43"/>
      <c r="N59" s="43"/>
      <c r="O59" s="43"/>
      <c r="P59" s="43"/>
    </row>
    <row r="60" spans="1:16">
      <c r="A60" s="129" t="s">
        <v>180</v>
      </c>
      <c r="J60" s="24"/>
      <c r="K60" s="5"/>
    </row>
    <row r="61" spans="1:16">
      <c r="A61" s="129"/>
      <c r="B61" s="124" t="s">
        <v>88</v>
      </c>
      <c r="C61" s="124"/>
      <c r="D61" s="124"/>
      <c r="F61" s="123" t="s">
        <v>172</v>
      </c>
      <c r="G61" s="123"/>
      <c r="H61" s="123"/>
      <c r="J61" s="123" t="s">
        <v>92</v>
      </c>
      <c r="K61" s="123"/>
      <c r="L61" s="123"/>
    </row>
    <row r="62" spans="1:16">
      <c r="A62" s="129"/>
      <c r="B62" s="1" t="s">
        <v>89</v>
      </c>
      <c r="C62" s="1">
        <v>10</v>
      </c>
      <c r="D62" s="1" t="s">
        <v>80</v>
      </c>
      <c r="F62" s="1" t="s">
        <v>90</v>
      </c>
      <c r="G62" s="23" t="s">
        <v>81</v>
      </c>
      <c r="H62" s="1" t="s">
        <v>80</v>
      </c>
      <c r="J62" s="1" t="s">
        <v>79</v>
      </c>
      <c r="K62" s="116">
        <f>G67*O5-G66*O6</f>
        <v>-7.0546625871584663</v>
      </c>
      <c r="L62" s="33" t="s">
        <v>80</v>
      </c>
      <c r="N62" s="125" t="s">
        <v>94</v>
      </c>
      <c r="O62" s="125"/>
      <c r="P62" s="125"/>
    </row>
    <row r="63" spans="1:16">
      <c r="A63" s="129"/>
      <c r="F63" s="1" t="s">
        <v>77</v>
      </c>
      <c r="G63" s="5">
        <f>2*C62</f>
        <v>20</v>
      </c>
      <c r="H63" s="1" t="s">
        <v>80</v>
      </c>
      <c r="J63" s="1" t="s">
        <v>77</v>
      </c>
      <c r="K63" s="116">
        <f>G63-G68*O5</f>
        <v>14.675535801582338</v>
      </c>
      <c r="L63" s="33" t="s">
        <v>80</v>
      </c>
      <c r="N63" s="125"/>
      <c r="O63" s="125"/>
      <c r="P63" s="125"/>
    </row>
    <row r="64" spans="1:16">
      <c r="A64" s="129"/>
      <c r="F64" s="1" t="s">
        <v>78</v>
      </c>
      <c r="G64" s="5">
        <f>C62*TAN(PI()*C10/180)</f>
        <v>17.320508075688767</v>
      </c>
      <c r="H64" s="1" t="s">
        <v>80</v>
      </c>
      <c r="J64" s="1" t="s">
        <v>78</v>
      </c>
      <c r="K64" s="116">
        <f>G64+G68*O6</f>
        <v>25.687523244630807</v>
      </c>
      <c r="L64" s="33" t="s">
        <v>80</v>
      </c>
      <c r="N64" s="125"/>
      <c r="O64" s="125"/>
      <c r="P64" s="125"/>
    </row>
    <row r="65" spans="1:26">
      <c r="A65" s="129"/>
      <c r="J65" s="24"/>
      <c r="K65" s="25"/>
      <c r="N65" s="24"/>
      <c r="O65" s="24"/>
      <c r="P65" s="24"/>
    </row>
    <row r="66" spans="1:26">
      <c r="A66" s="129"/>
      <c r="F66" s="1" t="s">
        <v>83</v>
      </c>
      <c r="G66" s="3">
        <f>(ASIN(((K6+(2*K5/TAN(PI()*C10/180)))/2+(C62*0.001))/(SQRT(C9^2/4+(K6+(2*K5/TAN(PI()*C10/180)))^2/4)))-ATAN(((K6+(2*K5/TAN(PI()*C10/180)))/C9)))*1000</f>
        <v>0.28572575681823364</v>
      </c>
      <c r="H66" s="1" t="s">
        <v>86</v>
      </c>
      <c r="J66" s="24"/>
      <c r="K66" s="26"/>
    </row>
    <row r="67" spans="1:26">
      <c r="A67" s="129"/>
      <c r="F67" s="1" t="s">
        <v>84</v>
      </c>
      <c r="G67" s="3">
        <f>C62*TAN(PI()*C10/180)/C9</f>
        <v>0.24743582965269667</v>
      </c>
      <c r="H67" s="1" t="s">
        <v>86</v>
      </c>
      <c r="J67" s="24"/>
      <c r="K67" s="26"/>
    </row>
    <row r="68" spans="1:26" ht="12.3" customHeight="1">
      <c r="A68" s="129"/>
      <c r="F68" s="1" t="s">
        <v>85</v>
      </c>
      <c r="G68" s="3">
        <f>C62/(SQRT((C5-C8)^2+C7^2))</f>
        <v>0.1521275485262189</v>
      </c>
      <c r="H68" s="1" t="s">
        <v>86</v>
      </c>
    </row>
    <row r="70" spans="1:26" ht="14.1">
      <c r="B70" s="122" t="s">
        <v>130</v>
      </c>
      <c r="C70" s="122"/>
      <c r="D70" s="122"/>
      <c r="E70" s="122"/>
      <c r="F70" s="122"/>
      <c r="G70" s="122"/>
      <c r="H70" s="122"/>
      <c r="K70" s="122" t="s">
        <v>131</v>
      </c>
      <c r="L70" s="122"/>
      <c r="M70" s="122"/>
      <c r="N70" s="122"/>
      <c r="O70" s="122"/>
      <c r="P70" s="122"/>
      <c r="S70" s="122" t="s">
        <v>182</v>
      </c>
      <c r="T70" s="122"/>
      <c r="U70" s="122"/>
      <c r="V70" s="122"/>
      <c r="W70" s="122"/>
      <c r="X70" s="122"/>
      <c r="Y70" s="122"/>
      <c r="Z70" s="122"/>
    </row>
    <row r="80" spans="1:26">
      <c r="B80" s="24"/>
      <c r="C80" s="25"/>
    </row>
    <row r="81" spans="2:3">
      <c r="B81" s="24"/>
      <c r="C81" s="25"/>
    </row>
    <row r="82" spans="2:3">
      <c r="B82" s="24"/>
      <c r="C82" s="25"/>
    </row>
    <row r="83" spans="2:3">
      <c r="B83" s="24"/>
      <c r="C83" s="25"/>
    </row>
    <row r="84" spans="2:3">
      <c r="B84" s="24"/>
      <c r="C84" s="26"/>
    </row>
    <row r="85" spans="2:3">
      <c r="B85" s="24"/>
      <c r="C85" s="26"/>
    </row>
  </sheetData>
  <mergeCells count="33">
    <mergeCell ref="A60:A68"/>
    <mergeCell ref="F4:H4"/>
    <mergeCell ref="J50:L50"/>
    <mergeCell ref="N51:P53"/>
    <mergeCell ref="A50:A57"/>
    <mergeCell ref="J22:L22"/>
    <mergeCell ref="J18:L18"/>
    <mergeCell ref="A4:A29"/>
    <mergeCell ref="A33:A47"/>
    <mergeCell ref="B1:P2"/>
    <mergeCell ref="N4:P4"/>
    <mergeCell ref="B33:D33"/>
    <mergeCell ref="B4:D4"/>
    <mergeCell ref="B12:D12"/>
    <mergeCell ref="J33:L33"/>
    <mergeCell ref="J4:L4"/>
    <mergeCell ref="J11:L11"/>
    <mergeCell ref="F9:H9"/>
    <mergeCell ref="F14:H14"/>
    <mergeCell ref="N8:P8"/>
    <mergeCell ref="F23:H23"/>
    <mergeCell ref="B19:D19"/>
    <mergeCell ref="B24:D24"/>
    <mergeCell ref="S70:Z70"/>
    <mergeCell ref="B70:H70"/>
    <mergeCell ref="F33:H33"/>
    <mergeCell ref="B61:D61"/>
    <mergeCell ref="F61:H61"/>
    <mergeCell ref="J61:L61"/>
    <mergeCell ref="N62:P64"/>
    <mergeCell ref="K70:P70"/>
    <mergeCell ref="B50:D50"/>
    <mergeCell ref="F50:H50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D2FBE-A8FF-43D2-90D2-2A58AEA86AD3}">
  <dimension ref="A1:V91"/>
  <sheetViews>
    <sheetView zoomScale="85" zoomScaleNormal="85" workbookViewId="0">
      <selection sqref="A1:M45"/>
    </sheetView>
  </sheetViews>
  <sheetFormatPr defaultRowHeight="14.4"/>
  <cols>
    <col min="2" max="2" width="31.20703125" customWidth="1"/>
    <col min="3" max="3" width="10.89453125" customWidth="1"/>
    <col min="4" max="4" width="10.68359375" customWidth="1"/>
    <col min="5" max="5" width="4.2070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23" t="s">
        <v>107</v>
      </c>
      <c r="C2" s="123"/>
      <c r="D2" s="123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 t="s">
        <v>108</v>
      </c>
      <c r="C3" s="1" t="s">
        <v>109</v>
      </c>
      <c r="D3" s="1" t="s">
        <v>110</v>
      </c>
      <c r="E3" s="1"/>
      <c r="F3" s="1"/>
      <c r="I3" s="1"/>
      <c r="J3" s="1"/>
      <c r="K3" s="1"/>
      <c r="L3" s="1"/>
    </row>
    <row r="4" spans="1:12">
      <c r="A4" s="1"/>
      <c r="B4" s="1" t="s">
        <v>111</v>
      </c>
      <c r="C4" s="1" t="s">
        <v>13</v>
      </c>
      <c r="D4" s="1" t="s">
        <v>110</v>
      </c>
      <c r="E4" s="1"/>
      <c r="F4" s="1"/>
      <c r="I4" s="1"/>
      <c r="J4" s="1"/>
      <c r="K4" s="1"/>
      <c r="L4" s="1"/>
    </row>
    <row r="5" spans="1:12">
      <c r="A5" s="1"/>
      <c r="B5" s="1" t="s">
        <v>112</v>
      </c>
      <c r="C5" s="1">
        <v>200</v>
      </c>
      <c r="D5" s="1" t="s">
        <v>51</v>
      </c>
      <c r="E5" s="1"/>
      <c r="F5" s="1"/>
      <c r="I5" s="1"/>
      <c r="J5" s="1"/>
      <c r="K5" s="1"/>
      <c r="L5" s="1"/>
    </row>
    <row r="6" spans="1:12">
      <c r="A6" s="1"/>
      <c r="B6" s="1"/>
      <c r="C6" s="1"/>
      <c r="D6" s="1"/>
      <c r="E6" s="1"/>
      <c r="F6" s="1"/>
      <c r="I6" s="1"/>
      <c r="J6" s="1"/>
      <c r="K6" s="1"/>
      <c r="L6" s="1"/>
    </row>
    <row r="7" spans="1:12">
      <c r="A7" s="1"/>
      <c r="B7" s="123" t="s">
        <v>55</v>
      </c>
      <c r="C7" s="123"/>
      <c r="D7" s="123"/>
      <c r="E7" s="1"/>
      <c r="F7" s="1"/>
      <c r="I7" s="1"/>
      <c r="J7" s="1"/>
      <c r="K7" s="1"/>
      <c r="L7" s="1"/>
    </row>
    <row r="8" spans="1:12">
      <c r="A8" s="1"/>
      <c r="B8" s="1" t="s">
        <v>50</v>
      </c>
      <c r="C8" s="1">
        <f>4*'A- CONCEPT1 ANALYSIS'!C20*'A- CONCEPT1 ANALYSIS'!C21</f>
        <v>804.39812306727754</v>
      </c>
      <c r="D8" s="1" t="s">
        <v>18</v>
      </c>
      <c r="E8" s="1"/>
      <c r="F8" s="1"/>
      <c r="I8" s="1"/>
      <c r="J8" s="1"/>
      <c r="K8" s="1"/>
      <c r="L8" s="1"/>
    </row>
    <row r="9" spans="1:12">
      <c r="A9" s="1"/>
      <c r="B9" s="1" t="s">
        <v>36</v>
      </c>
      <c r="C9" s="2">
        <f>C5/C8</f>
        <v>0.24863310127747845</v>
      </c>
      <c r="D9" s="1" t="s">
        <v>2</v>
      </c>
      <c r="E9" s="1"/>
      <c r="F9" s="1"/>
      <c r="I9" s="1"/>
      <c r="J9" s="1"/>
      <c r="K9" s="1"/>
      <c r="L9" s="1"/>
    </row>
    <row r="10" spans="1:12">
      <c r="A10" s="1"/>
      <c r="B10" s="1" t="s">
        <v>37</v>
      </c>
      <c r="C10" s="1">
        <f>C12/C11</f>
        <v>15</v>
      </c>
      <c r="D10" s="1" t="s">
        <v>41</v>
      </c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 t="s">
        <v>38</v>
      </c>
      <c r="C11" s="1">
        <v>10</v>
      </c>
      <c r="D11" s="1" t="s">
        <v>42</v>
      </c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 t="s">
        <v>52</v>
      </c>
      <c r="C12" s="1">
        <v>150</v>
      </c>
      <c r="D12" s="1" t="s">
        <v>1</v>
      </c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 t="s">
        <v>39</v>
      </c>
      <c r="C13" s="40">
        <v>1E-8</v>
      </c>
      <c r="D13" s="1" t="s">
        <v>43</v>
      </c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 t="s">
        <v>40</v>
      </c>
      <c r="C15" s="3">
        <f>C9*C10*C11*C13*10^6</f>
        <v>0.37294965191621771</v>
      </c>
      <c r="D15" s="1" t="s">
        <v>53</v>
      </c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 t="s">
        <v>44</v>
      </c>
      <c r="C16" s="3">
        <f>C13*C9*10^6*10^3</f>
        <v>2.4863310127747846</v>
      </c>
      <c r="D16" s="1" t="s">
        <v>54</v>
      </c>
      <c r="E16" s="1"/>
      <c r="F16" s="1"/>
      <c r="G16" s="1"/>
      <c r="H16" s="1"/>
      <c r="I16" s="1"/>
      <c r="J16" s="1"/>
      <c r="K16" s="1"/>
      <c r="L16" s="1"/>
    </row>
    <row r="17" spans="1:19">
      <c r="A17" s="1"/>
      <c r="E17" s="1"/>
      <c r="F17" s="1"/>
      <c r="G17" s="1"/>
      <c r="H17" s="1"/>
      <c r="I17" s="1"/>
      <c r="J17" s="1"/>
      <c r="K17" s="1"/>
      <c r="L17" s="1"/>
    </row>
    <row r="18" spans="1:19">
      <c r="A18" s="1"/>
      <c r="B18" s="124" t="s">
        <v>123</v>
      </c>
      <c r="C18" s="124"/>
      <c r="D18" s="124"/>
      <c r="E18" s="1"/>
      <c r="F18" s="1"/>
      <c r="G18" s="1"/>
      <c r="H18" s="1"/>
      <c r="I18" s="1"/>
      <c r="J18" s="1"/>
      <c r="K18" s="1"/>
      <c r="L18" s="1"/>
    </row>
    <row r="19" spans="1:19" ht="14.4" customHeight="1">
      <c r="A19" s="1"/>
      <c r="B19" s="1" t="s">
        <v>89</v>
      </c>
      <c r="C19" s="4">
        <f>C16/TAN(PI()*'A- CONCEPT1 ANALYSIS'!C10/180)</f>
        <v>1.4354838795200373</v>
      </c>
      <c r="D19" s="1" t="s">
        <v>80</v>
      </c>
      <c r="F19" s="131" t="s">
        <v>185</v>
      </c>
      <c r="G19" s="131"/>
      <c r="H19" s="1"/>
      <c r="I19" s="1"/>
      <c r="J19" s="1"/>
      <c r="K19" s="1"/>
      <c r="L19" s="1"/>
    </row>
    <row r="20" spans="1:19">
      <c r="A20" s="1"/>
      <c r="B20" s="1"/>
      <c r="C20" s="4"/>
      <c r="D20" s="1"/>
      <c r="F20" s="131"/>
      <c r="G20" s="131"/>
      <c r="H20" s="1"/>
      <c r="I20" s="1"/>
      <c r="J20" s="1"/>
      <c r="K20" s="1"/>
      <c r="L20" s="1"/>
    </row>
    <row r="21" spans="1:19">
      <c r="A21" s="1"/>
      <c r="B21" s="123" t="s">
        <v>124</v>
      </c>
      <c r="C21" s="123"/>
      <c r="D21" s="123"/>
      <c r="F21" s="131"/>
      <c r="G21" s="131"/>
      <c r="H21" s="1"/>
      <c r="I21" s="1"/>
      <c r="J21" s="1"/>
      <c r="K21" s="1"/>
      <c r="L21" s="1"/>
    </row>
    <row r="22" spans="1:19">
      <c r="A22" s="1"/>
      <c r="B22" s="1" t="s">
        <v>90</v>
      </c>
      <c r="C22" s="23" t="s">
        <v>81</v>
      </c>
      <c r="D22" s="1" t="s">
        <v>80</v>
      </c>
      <c r="F22" s="24"/>
      <c r="G22" s="24"/>
      <c r="H22" s="1"/>
      <c r="I22" s="1"/>
      <c r="J22" s="1"/>
      <c r="K22" s="1"/>
      <c r="L22" s="1"/>
    </row>
    <row r="23" spans="1:19">
      <c r="A23" s="1"/>
      <c r="B23" s="1" t="s">
        <v>77</v>
      </c>
      <c r="C23" s="5">
        <f>2*C19</f>
        <v>2.8709677590400746</v>
      </c>
      <c r="D23" s="1" t="s">
        <v>80</v>
      </c>
      <c r="F23" s="24"/>
      <c r="G23" s="24"/>
      <c r="H23" s="1"/>
      <c r="I23" s="1"/>
      <c r="J23" s="1"/>
      <c r="K23" s="1"/>
      <c r="L23" s="1"/>
    </row>
    <row r="24" spans="1:19">
      <c r="A24" s="1"/>
      <c r="B24" s="1" t="s">
        <v>78</v>
      </c>
      <c r="C24" s="5">
        <f>C19*TAN(PI()*'A- CONCEPT1 ANALYSIS'!C10/180)</f>
        <v>2.4863310127747846</v>
      </c>
      <c r="D24" s="1" t="s">
        <v>80</v>
      </c>
      <c r="F24" s="24"/>
      <c r="G24" s="24"/>
      <c r="H24" s="1"/>
      <c r="K24" s="1"/>
      <c r="L24" s="1"/>
    </row>
    <row r="25" spans="1:19">
      <c r="A25" s="1"/>
      <c r="B25" s="1"/>
      <c r="C25" s="1"/>
      <c r="D25" s="1"/>
      <c r="F25" s="24"/>
      <c r="G25" s="24"/>
      <c r="H25" s="1"/>
      <c r="K25" s="1"/>
      <c r="L25" s="1"/>
    </row>
    <row r="26" spans="1:19">
      <c r="A26" s="1"/>
      <c r="B26" s="1" t="s">
        <v>83</v>
      </c>
      <c r="C26" s="3">
        <f>(ASIN((('A- CONCEPT1 ANALYSIS'!K6+(2*'A- CONCEPT1 ANALYSIS'!K5/TAN(PI()*'A- CONCEPT1 ANALYSIS'!C10/180)))/2+(C19*0.001))/(SQRT('A- CONCEPT1 ANALYSIS'!C9^2/4+('A- CONCEPT1 ANALYSIS'!K6+(2*'A- CONCEPT1 ANALYSIS'!K5/TAN(PI()*'A- CONCEPT1 ANALYSIS'!C10/180)))^2/4)))-ATAN((('A- CONCEPT1 ANALYSIS'!K6+(2*'A- CONCEPT1 ANALYSIS'!K5/TAN(PI()*'A- CONCEPT1 ANALYSIS'!C10/180)))/'A- CONCEPT1 ANALYSIS'!C9)))*1000</f>
        <v>4.1014061419486492E-2</v>
      </c>
      <c r="D26" s="1" t="s">
        <v>86</v>
      </c>
      <c r="E26" s="1"/>
      <c r="F26" s="24"/>
      <c r="G26" s="24"/>
      <c r="H26" s="1"/>
      <c r="K26" s="1"/>
      <c r="L26" s="1"/>
    </row>
    <row r="27" spans="1:19">
      <c r="A27" s="1"/>
      <c r="B27" s="1" t="s">
        <v>84</v>
      </c>
      <c r="C27" s="3">
        <f>C19*TAN(PI()*'A- CONCEPT1 ANALYSIS'!C10/180)/'A- CONCEPT1 ANALYSIS'!C9</f>
        <v>3.5519014468211207E-2</v>
      </c>
      <c r="D27" s="1" t="s">
        <v>86</v>
      </c>
      <c r="E27" s="1"/>
      <c r="F27" s="24"/>
      <c r="G27" s="24"/>
      <c r="H27" s="1"/>
      <c r="K27" s="1"/>
      <c r="L27" s="1"/>
    </row>
    <row r="28" spans="1:19">
      <c r="A28" s="1"/>
      <c r="B28" s="1" t="s">
        <v>85</v>
      </c>
      <c r="C28" s="3">
        <f>C19/(SQRT(('A- CONCEPT1 ANALYSIS'!C5-'A- CONCEPT1 ANALYSIS'!C8)^2+'A- CONCEPT1 ANALYSIS'!C7^2))</f>
        <v>2.1837664354028945E-2</v>
      </c>
      <c r="D28" s="1" t="s">
        <v>86</v>
      </c>
      <c r="E28" s="1"/>
      <c r="H28" s="1"/>
      <c r="K28" s="1"/>
      <c r="L28" s="1"/>
    </row>
    <row r="29" spans="1:19">
      <c r="A29" s="1"/>
      <c r="B29" s="1"/>
      <c r="C29" s="4"/>
      <c r="D29" s="1"/>
      <c r="E29" s="1"/>
      <c r="H29" s="1"/>
      <c r="K29" s="1"/>
      <c r="L29" s="1"/>
    </row>
    <row r="30" spans="1:19">
      <c r="A30" s="1"/>
      <c r="B30" s="123" t="s">
        <v>125</v>
      </c>
      <c r="C30" s="123"/>
      <c r="D30" s="123"/>
      <c r="E30" s="1"/>
      <c r="I30" s="123" t="s">
        <v>113</v>
      </c>
      <c r="J30" s="123"/>
      <c r="K30" s="1"/>
      <c r="L30" s="1"/>
    </row>
    <row r="31" spans="1:19">
      <c r="A31" s="1"/>
      <c r="B31" s="1" t="s">
        <v>79</v>
      </c>
      <c r="C31" s="42">
        <f>C27*'A- CONCEPT1 ANALYSIS'!O5-C26*'A- CONCEPT1 ANALYSIS'!O6</f>
        <v>-1.0126078716843647</v>
      </c>
      <c r="D31" s="33" t="s">
        <v>80</v>
      </c>
      <c r="E31" s="1"/>
      <c r="I31" t="s">
        <v>114</v>
      </c>
      <c r="J31">
        <v>1.4</v>
      </c>
      <c r="K31" s="1"/>
      <c r="L31" s="1"/>
    </row>
    <row r="32" spans="1:19">
      <c r="A32" s="1"/>
      <c r="B32" s="1" t="s">
        <v>77</v>
      </c>
      <c r="C32" s="42">
        <f>C23-C28*'A- CONCEPT1 ANALYSIS'!O5</f>
        <v>2.1066495066490614</v>
      </c>
      <c r="D32" s="33" t="s">
        <v>80</v>
      </c>
      <c r="E32" s="1"/>
      <c r="I32" t="s">
        <v>115</v>
      </c>
      <c r="J32">
        <v>58</v>
      </c>
      <c r="K32" s="1"/>
      <c r="O32" s="1"/>
      <c r="S32" s="1"/>
    </row>
    <row r="33" spans="1:22">
      <c r="A33" s="1"/>
      <c r="B33" s="1" t="s">
        <v>78</v>
      </c>
      <c r="C33" s="42">
        <f>C24+C28*'A- CONCEPT1 ANALYSIS'!O6</f>
        <v>3.6874025522463767</v>
      </c>
      <c r="D33" s="33" t="s">
        <v>80</v>
      </c>
      <c r="E33" s="1"/>
      <c r="F33" s="1"/>
      <c r="G33" s="1"/>
      <c r="I33" t="s">
        <v>116</v>
      </c>
      <c r="J33">
        <v>46</v>
      </c>
      <c r="K33" s="1"/>
      <c r="O33" s="1"/>
      <c r="S33" s="1"/>
    </row>
    <row r="34" spans="1:22">
      <c r="A34" s="1"/>
      <c r="B34" s="1"/>
      <c r="C34" s="42"/>
      <c r="D34" s="33"/>
      <c r="E34" s="1"/>
      <c r="F34" s="1"/>
      <c r="G34" s="1"/>
      <c r="I34" t="s">
        <v>117</v>
      </c>
      <c r="J34">
        <v>204</v>
      </c>
      <c r="K34" s="1"/>
      <c r="L34" s="1"/>
      <c r="M34" s="1"/>
      <c r="N34" s="1"/>
      <c r="O34" s="1"/>
      <c r="S34" s="1"/>
    </row>
    <row r="35" spans="1:22">
      <c r="A35" s="1"/>
      <c r="B35" s="123" t="s">
        <v>58</v>
      </c>
      <c r="C35" s="123"/>
      <c r="D35" s="123"/>
      <c r="E35" s="1"/>
      <c r="F35" s="1"/>
      <c r="G35" s="1"/>
      <c r="I35" t="s">
        <v>118</v>
      </c>
      <c r="J35">
        <v>16</v>
      </c>
      <c r="K35" s="1"/>
      <c r="L35" s="1"/>
      <c r="M35" s="1"/>
      <c r="N35" s="1"/>
      <c r="O35" s="1"/>
      <c r="S35" s="1"/>
    </row>
    <row r="36" spans="1:22">
      <c r="A36" s="1"/>
      <c r="B36" s="1" t="s">
        <v>121</v>
      </c>
      <c r="C36" s="1">
        <v>204</v>
      </c>
      <c r="D36" s="1" t="s">
        <v>120</v>
      </c>
      <c r="E36" s="1"/>
      <c r="F36" s="1"/>
      <c r="G36" s="1"/>
      <c r="I36" t="s">
        <v>119</v>
      </c>
      <c r="J36">
        <v>0.24</v>
      </c>
      <c r="K36" s="1"/>
      <c r="L36" s="1"/>
      <c r="M36" s="1"/>
      <c r="N36" s="1"/>
      <c r="O36" s="1"/>
      <c r="S36" s="1"/>
      <c r="T36" s="24"/>
      <c r="U36" s="25"/>
      <c r="V36" s="1"/>
    </row>
    <row r="37" spans="1:22">
      <c r="A37" s="1"/>
      <c r="B37" s="1" t="s">
        <v>196</v>
      </c>
      <c r="C37" s="1">
        <v>0.24</v>
      </c>
      <c r="D37" s="1" t="s">
        <v>120</v>
      </c>
      <c r="E37" s="1"/>
      <c r="F37" s="1"/>
      <c r="G37" s="1"/>
      <c r="J37" s="1"/>
      <c r="K37" s="1"/>
      <c r="L37" s="1"/>
      <c r="M37" s="1"/>
      <c r="N37" s="1"/>
      <c r="O37" s="1"/>
      <c r="S37" s="1"/>
      <c r="T37" s="24"/>
      <c r="U37" s="26"/>
      <c r="V37" s="1"/>
    </row>
    <row r="38" spans="1:22">
      <c r="A38" s="1"/>
      <c r="B38" s="1" t="s">
        <v>45</v>
      </c>
      <c r="C38" s="1">
        <v>60</v>
      </c>
      <c r="D38" s="1" t="s">
        <v>122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S38" s="1"/>
      <c r="T38" s="24"/>
      <c r="U38" s="26"/>
      <c r="V38" s="1"/>
    </row>
    <row r="39" spans="1:22">
      <c r="A39" s="1"/>
      <c r="B39" s="1" t="s">
        <v>46</v>
      </c>
      <c r="C39" s="1">
        <v>20</v>
      </c>
      <c r="D39" s="1" t="s">
        <v>122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S39" s="1"/>
      <c r="T39" s="1"/>
      <c r="U39" s="1"/>
      <c r="V39" s="1"/>
    </row>
    <row r="40" spans="1:22">
      <c r="A40" s="1"/>
      <c r="B40" s="1" t="s">
        <v>47</v>
      </c>
      <c r="C40" s="5">
        <f>'A- CONCEPT1 ANALYSIS'!C22</f>
        <v>2.3812499999999996</v>
      </c>
      <c r="D40" s="1" t="s">
        <v>1</v>
      </c>
      <c r="E40" s="1"/>
      <c r="F40" s="1"/>
      <c r="G40" s="1"/>
      <c r="H40" s="1"/>
      <c r="I40" s="1"/>
      <c r="J40" s="1"/>
      <c r="K40" s="1"/>
      <c r="L40" s="1"/>
    </row>
    <row r="41" spans="1:22">
      <c r="A41" s="1"/>
      <c r="B41" s="1" t="s">
        <v>48</v>
      </c>
      <c r="C41" s="1">
        <f>'A- CONCEPT1 ANALYSIS'!C29</f>
        <v>0.2</v>
      </c>
      <c r="D41" s="1" t="s">
        <v>110</v>
      </c>
      <c r="E41" s="1"/>
      <c r="F41" s="1"/>
      <c r="G41" s="1"/>
      <c r="H41" s="1"/>
      <c r="I41" s="1"/>
      <c r="J41" s="1"/>
      <c r="K41" s="1"/>
      <c r="L41" s="1"/>
    </row>
    <row r="42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2">
      <c r="A43" s="1"/>
      <c r="B43" s="1" t="s">
        <v>57</v>
      </c>
      <c r="C43" s="39">
        <f>PI()*C36*C37*(C38-C39)/(2*C40*C41)</f>
        <v>6459.3123913808404</v>
      </c>
      <c r="D43" s="1" t="s">
        <v>49</v>
      </c>
      <c r="E43" s="1"/>
      <c r="F43" s="1"/>
      <c r="G43" s="1"/>
      <c r="H43" s="1"/>
      <c r="I43" s="1"/>
      <c r="J43" s="1"/>
      <c r="K43" s="1"/>
      <c r="L43" s="1"/>
    </row>
    <row r="44" spans="1:22">
      <c r="A44" s="1"/>
      <c r="B44" s="1" t="s">
        <v>56</v>
      </c>
      <c r="C44" s="41">
        <f>C9*C10</f>
        <v>3.7294965191621769</v>
      </c>
      <c r="D44" s="1" t="s">
        <v>49</v>
      </c>
      <c r="E44" s="1"/>
      <c r="F44" s="1"/>
      <c r="G44" s="1"/>
      <c r="H44" s="1"/>
      <c r="I44" s="1"/>
      <c r="J44" s="1"/>
      <c r="K44" s="1"/>
      <c r="L44" s="1"/>
    </row>
    <row r="45" spans="1:22">
      <c r="A45" s="1"/>
      <c r="E45" s="1"/>
      <c r="F45" s="1"/>
      <c r="G45" s="1"/>
      <c r="H45" s="1"/>
      <c r="I45" s="1"/>
      <c r="J45" s="1"/>
      <c r="K45" s="1"/>
      <c r="L45" s="1"/>
    </row>
    <row r="46" spans="1:22">
      <c r="A46" s="1"/>
      <c r="E46" s="1"/>
      <c r="F46" s="1"/>
      <c r="G46" s="1"/>
      <c r="H46" s="1"/>
      <c r="I46" s="1"/>
      <c r="J46" s="1"/>
      <c r="K46" s="1"/>
      <c r="L46" s="1"/>
    </row>
    <row r="47" spans="1:22">
      <c r="A47" s="1"/>
      <c r="E47" s="1"/>
      <c r="F47" s="1"/>
      <c r="G47" s="1"/>
      <c r="H47" s="1"/>
      <c r="I47" s="1"/>
      <c r="J47" s="1"/>
      <c r="K47" s="1"/>
      <c r="L47" s="1"/>
    </row>
    <row r="48" spans="1:22">
      <c r="A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B83" s="1"/>
      <c r="C83" s="1"/>
      <c r="D83" s="1"/>
    </row>
    <row r="84" spans="1:12">
      <c r="B84" s="1"/>
      <c r="C84" s="1"/>
      <c r="D84" s="1"/>
    </row>
    <row r="85" spans="1:12">
      <c r="B85" s="1"/>
      <c r="C85" s="1"/>
      <c r="D85" s="1"/>
    </row>
    <row r="86" spans="1:12">
      <c r="B86" s="1"/>
      <c r="C86" s="1"/>
      <c r="D86" s="1"/>
    </row>
    <row r="87" spans="1:12">
      <c r="B87" s="1"/>
      <c r="C87" s="1"/>
      <c r="D87" s="1"/>
    </row>
    <row r="88" spans="1:12">
      <c r="B88" s="1"/>
      <c r="C88" s="1"/>
      <c r="D88" s="1"/>
    </row>
    <row r="89" spans="1:12">
      <c r="B89" s="1"/>
      <c r="C89" s="1"/>
      <c r="D89" s="1"/>
    </row>
    <row r="90" spans="1:12">
      <c r="B90" s="1"/>
      <c r="C90" s="1"/>
      <c r="D90" s="1"/>
    </row>
    <row r="91" spans="1:12">
      <c r="B91" s="1"/>
      <c r="C91" s="1"/>
      <c r="D91" s="1"/>
    </row>
  </sheetData>
  <mergeCells count="8">
    <mergeCell ref="I30:J30"/>
    <mergeCell ref="F19:G21"/>
    <mergeCell ref="B2:D2"/>
    <mergeCell ref="B7:D7"/>
    <mergeCell ref="B35:D35"/>
    <mergeCell ref="B18:D18"/>
    <mergeCell ref="B21:D21"/>
    <mergeCell ref="B30:D3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4097" r:id="rId3">
          <objectPr defaultSize="0" autoPict="0" r:id="rId4">
            <anchor moveWithCells="1" sizeWithCells="1">
              <from>
                <xdr:col>5</xdr:col>
                <xdr:colOff>0</xdr:colOff>
                <xdr:row>37</xdr:row>
                <xdr:rowOff>99060</xdr:rowOff>
              </from>
              <to>
                <xdr:col>12</xdr:col>
                <xdr:colOff>171450</xdr:colOff>
                <xdr:row>41</xdr:row>
                <xdr:rowOff>49530</xdr:rowOff>
              </to>
            </anchor>
          </objectPr>
        </oleObject>
      </mc:Choice>
      <mc:Fallback>
        <oleObject progId="Equation.DSMT4" shapeId="4097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B3E6-CF07-4E52-95FF-18F966DBC84D}">
  <dimension ref="B2:K11"/>
  <sheetViews>
    <sheetView zoomScale="85" zoomScaleNormal="85" workbookViewId="0">
      <selection activeCell="H36" sqref="H35:H36"/>
    </sheetView>
  </sheetViews>
  <sheetFormatPr defaultRowHeight="14.4"/>
  <cols>
    <col min="2" max="2" width="18.62890625" customWidth="1"/>
    <col min="3" max="3" width="21.5234375" bestFit="1" customWidth="1"/>
    <col min="4" max="4" width="24.20703125" bestFit="1" customWidth="1"/>
    <col min="8" max="8" width="10.26171875" customWidth="1"/>
    <col min="9" max="9" width="21.5234375" bestFit="1" customWidth="1"/>
    <col min="10" max="10" width="24.20703125" bestFit="1" customWidth="1"/>
    <col min="15" max="15" width="8.83984375" customWidth="1"/>
  </cols>
  <sheetData>
    <row r="2" spans="2:11">
      <c r="B2" s="126" t="s">
        <v>205</v>
      </c>
      <c r="C2" s="126"/>
      <c r="D2" s="126"/>
      <c r="H2" s="126" t="s">
        <v>211</v>
      </c>
      <c r="I2" s="126"/>
      <c r="J2" s="126"/>
    </row>
    <row r="3" spans="2:11">
      <c r="B3" s="83" t="s">
        <v>209</v>
      </c>
      <c r="C3" s="84" t="s">
        <v>206</v>
      </c>
      <c r="D3" s="84" t="s">
        <v>207</v>
      </c>
      <c r="H3" s="83" t="s">
        <v>209</v>
      </c>
      <c r="I3" s="84" t="s">
        <v>206</v>
      </c>
      <c r="J3" s="84" t="s">
        <v>207</v>
      </c>
    </row>
    <row r="4" spans="2:11">
      <c r="B4" s="85">
        <f>70-60.5</f>
        <v>9.5</v>
      </c>
      <c r="C4" s="86">
        <v>5.0000000000000001E-4</v>
      </c>
      <c r="D4" s="87">
        <f>C4*1000*25.4</f>
        <v>12.7</v>
      </c>
      <c r="E4" s="91">
        <f>B4*9.81/D4</f>
        <v>7.3381889763779533</v>
      </c>
      <c r="H4" s="85">
        <v>13.8</v>
      </c>
      <c r="I4" s="86">
        <v>2.0000000000000001E-4</v>
      </c>
      <c r="J4" s="87">
        <f>I4*1000*25.4</f>
        <v>5.08</v>
      </c>
      <c r="K4" s="91">
        <f>H4*9.81/J4</f>
        <v>26.649212598425198</v>
      </c>
    </row>
    <row r="5" spans="2:11">
      <c r="B5" s="85">
        <f>70-48.9</f>
        <v>21.1</v>
      </c>
      <c r="C5" s="85">
        <v>1E-3</v>
      </c>
      <c r="D5" s="87">
        <f>C5*1000*25.4</f>
        <v>25.4</v>
      </c>
      <c r="E5" s="91">
        <f>B5*9.81/D5</f>
        <v>8.149251968503938</v>
      </c>
      <c r="H5" s="85">
        <v>28.5</v>
      </c>
      <c r="I5" s="85">
        <v>5.0000000000000001E-4</v>
      </c>
      <c r="J5" s="87">
        <f>I5*1000*25.4</f>
        <v>12.7</v>
      </c>
      <c r="K5" s="91">
        <f>H5*9.81/J5</f>
        <v>22.014566929133863</v>
      </c>
    </row>
    <row r="7" spans="2:11">
      <c r="B7" s="85"/>
      <c r="C7" s="90" t="s">
        <v>208</v>
      </c>
      <c r="D7" s="92">
        <f>(E5+E4)/2</f>
        <v>7.7437204724409456</v>
      </c>
      <c r="I7" s="90" t="s">
        <v>208</v>
      </c>
      <c r="J7" s="92">
        <f>(K5+K4)/2</f>
        <v>24.331889763779529</v>
      </c>
    </row>
    <row r="8" spans="2:11">
      <c r="B8" s="85"/>
      <c r="C8" s="88" t="s">
        <v>210</v>
      </c>
      <c r="D8" s="87">
        <v>0.4</v>
      </c>
      <c r="I8" s="88" t="s">
        <v>210</v>
      </c>
      <c r="J8" s="87">
        <v>0.3</v>
      </c>
    </row>
    <row r="10" spans="2:11">
      <c r="B10" s="85"/>
      <c r="C10" s="89"/>
      <c r="D10" s="87"/>
    </row>
    <row r="11" spans="2:11">
      <c r="B11" s="85"/>
    </row>
  </sheetData>
  <mergeCells count="2">
    <mergeCell ref="B2:D2"/>
    <mergeCell ref="H2:J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47FF-4C85-4C0E-A732-D363074588D0}">
  <dimension ref="B2:O16"/>
  <sheetViews>
    <sheetView topLeftCell="B25" zoomScale="85" zoomScaleNormal="85" workbookViewId="0">
      <selection activeCell="E16" sqref="E16"/>
    </sheetView>
  </sheetViews>
  <sheetFormatPr defaultRowHeight="14.4"/>
  <cols>
    <col min="2" max="2" width="15.15625" customWidth="1"/>
    <col min="3" max="3" width="21.5234375" bestFit="1" customWidth="1"/>
    <col min="4" max="4" width="22.5234375" customWidth="1"/>
    <col min="5" max="5" width="22.734375" customWidth="1"/>
    <col min="7" max="7" width="8.41796875" bestFit="1" customWidth="1"/>
    <col min="8" max="8" width="19.3671875" bestFit="1" customWidth="1"/>
    <col min="9" max="9" width="20.89453125" bestFit="1" customWidth="1"/>
    <col min="10" max="10" width="23.7890625" bestFit="1" customWidth="1"/>
    <col min="13" max="13" width="19.3671875" bestFit="1" customWidth="1"/>
    <col min="14" max="14" width="20.89453125" bestFit="1" customWidth="1"/>
    <col min="15" max="15" width="23.7890625" bestFit="1" customWidth="1"/>
  </cols>
  <sheetData>
    <row r="2" spans="2:15">
      <c r="B2" s="132" t="s">
        <v>213</v>
      </c>
      <c r="C2" s="132"/>
      <c r="D2" s="132"/>
      <c r="E2" s="95"/>
      <c r="G2" s="97" t="s">
        <v>220</v>
      </c>
      <c r="H2" s="97"/>
      <c r="I2" s="97"/>
      <c r="J2" s="98"/>
      <c r="L2" s="97" t="s">
        <v>221</v>
      </c>
      <c r="M2" s="97"/>
      <c r="N2" s="97"/>
      <c r="O2" s="98"/>
    </row>
    <row r="3" spans="2:15">
      <c r="B3" s="83" t="s">
        <v>209</v>
      </c>
      <c r="C3" s="84" t="s">
        <v>215</v>
      </c>
      <c r="D3" s="84" t="s">
        <v>214</v>
      </c>
      <c r="E3" s="84" t="s">
        <v>218</v>
      </c>
      <c r="G3" s="83" t="s">
        <v>209</v>
      </c>
      <c r="H3" s="84" t="s">
        <v>215</v>
      </c>
      <c r="I3" s="84" t="s">
        <v>214</v>
      </c>
      <c r="J3" s="84" t="s">
        <v>218</v>
      </c>
      <c r="L3" s="83" t="s">
        <v>209</v>
      </c>
      <c r="M3" s="84" t="s">
        <v>215</v>
      </c>
      <c r="N3" s="84" t="s">
        <v>214</v>
      </c>
      <c r="O3" s="84" t="s">
        <v>218</v>
      </c>
    </row>
    <row r="4" spans="2:15">
      <c r="B4" s="85">
        <v>0</v>
      </c>
      <c r="C4" s="85">
        <f>B4*$D$11*9.81</f>
        <v>0</v>
      </c>
      <c r="D4" s="85">
        <v>0</v>
      </c>
      <c r="E4" s="96">
        <f>D4/$D$12</f>
        <v>0</v>
      </c>
      <c r="G4" s="85">
        <v>0</v>
      </c>
      <c r="H4" s="85">
        <f>G4*$D$11*9.81</f>
        <v>0</v>
      </c>
      <c r="I4" s="85">
        <v>0</v>
      </c>
      <c r="J4" s="96">
        <f>I4/$D$12</f>
        <v>0</v>
      </c>
      <c r="L4" s="85">
        <v>0</v>
      </c>
      <c r="M4" s="85">
        <f>L4*$D$11*9.81</f>
        <v>0</v>
      </c>
      <c r="N4" s="85">
        <v>0</v>
      </c>
      <c r="O4" s="96">
        <f>N4/$D$12</f>
        <v>0</v>
      </c>
    </row>
    <row r="5" spans="2:15">
      <c r="B5" s="85">
        <v>1</v>
      </c>
      <c r="C5" s="87">
        <f>B5*$D$11*9.81</f>
        <v>2.9430000000000001</v>
      </c>
      <c r="D5" s="85">
        <v>5.5</v>
      </c>
      <c r="E5" s="96">
        <f t="shared" ref="E5:E9" si="0">D5/$D$12</f>
        <v>0.32738095238095238</v>
      </c>
      <c r="G5" s="85">
        <v>1</v>
      </c>
      <c r="H5" s="87">
        <f>G5*$D$11*9.81</f>
        <v>2.9430000000000001</v>
      </c>
      <c r="I5" s="85">
        <v>12</v>
      </c>
      <c r="J5" s="96">
        <f t="shared" ref="J5:J9" si="1">I5/$D$12</f>
        <v>0.7142857142857143</v>
      </c>
      <c r="L5" s="85">
        <v>1</v>
      </c>
      <c r="M5" s="87">
        <f>L5*$D$11*9.81</f>
        <v>2.9430000000000001</v>
      </c>
      <c r="N5" s="85">
        <v>15</v>
      </c>
      <c r="O5" s="96">
        <f t="shared" ref="O5:O9" si="2">N5/$D$12</f>
        <v>0.89285714285714279</v>
      </c>
    </row>
    <row r="6" spans="2:15">
      <c r="B6" s="85">
        <f>B5+1</f>
        <v>2</v>
      </c>
      <c r="C6" s="87">
        <f t="shared" ref="C6:C9" si="3">B6*$D$11*9.81</f>
        <v>5.8860000000000001</v>
      </c>
      <c r="D6" s="87">
        <v>10</v>
      </c>
      <c r="E6" s="96">
        <f t="shared" si="0"/>
        <v>0.59523809523809523</v>
      </c>
      <c r="G6" s="85">
        <f>G5+1</f>
        <v>2</v>
      </c>
      <c r="H6" s="87">
        <f t="shared" ref="H6:H9" si="4">G6*$D$11*9.81</f>
        <v>5.8860000000000001</v>
      </c>
      <c r="I6" s="99">
        <v>22</v>
      </c>
      <c r="J6" s="96">
        <f t="shared" si="1"/>
        <v>1.3095238095238095</v>
      </c>
      <c r="L6" s="85">
        <f>L5+1</f>
        <v>2</v>
      </c>
      <c r="M6" s="87">
        <f t="shared" ref="M6:M9" si="5">L6*$D$11*9.81</f>
        <v>5.8860000000000001</v>
      </c>
      <c r="N6" s="99">
        <v>30</v>
      </c>
      <c r="O6" s="96">
        <f t="shared" si="2"/>
        <v>1.7857142857142856</v>
      </c>
    </row>
    <row r="7" spans="2:15">
      <c r="B7" s="85">
        <f t="shared" ref="B7:B9" si="6">B6+1</f>
        <v>3</v>
      </c>
      <c r="C7" s="87">
        <f t="shared" si="3"/>
        <v>8.8289999999999988</v>
      </c>
      <c r="D7" s="87">
        <v>13</v>
      </c>
      <c r="E7" s="96">
        <f t="shared" si="0"/>
        <v>0.77380952380952372</v>
      </c>
      <c r="G7" s="85">
        <f t="shared" ref="G7:G9" si="7">G6+1</f>
        <v>3</v>
      </c>
      <c r="H7" s="87">
        <f t="shared" si="4"/>
        <v>8.8289999999999988</v>
      </c>
      <c r="I7" s="99">
        <v>29</v>
      </c>
      <c r="J7" s="96">
        <f t="shared" si="1"/>
        <v>1.7261904761904761</v>
      </c>
      <c r="L7" s="85">
        <f t="shared" ref="L7:L9" si="8">L6+1</f>
        <v>3</v>
      </c>
      <c r="M7" s="87">
        <f t="shared" si="5"/>
        <v>8.8289999999999988</v>
      </c>
      <c r="N7" s="99">
        <v>40</v>
      </c>
      <c r="O7" s="96">
        <f t="shared" si="2"/>
        <v>2.3809523809523809</v>
      </c>
    </row>
    <row r="8" spans="2:15">
      <c r="B8" s="85">
        <f t="shared" si="6"/>
        <v>4</v>
      </c>
      <c r="C8" s="87">
        <f t="shared" si="3"/>
        <v>11.772</v>
      </c>
      <c r="D8" s="85">
        <v>15.5</v>
      </c>
      <c r="E8" s="96">
        <f t="shared" si="0"/>
        <v>0.92261904761904756</v>
      </c>
      <c r="G8" s="85">
        <f t="shared" si="7"/>
        <v>4</v>
      </c>
      <c r="H8" s="87">
        <f t="shared" si="4"/>
        <v>11.772</v>
      </c>
      <c r="I8" s="85">
        <v>36</v>
      </c>
      <c r="J8" s="96">
        <f t="shared" si="1"/>
        <v>2.1428571428571428</v>
      </c>
      <c r="L8" s="85">
        <f t="shared" si="8"/>
        <v>4</v>
      </c>
      <c r="M8" s="87">
        <f t="shared" si="5"/>
        <v>11.772</v>
      </c>
      <c r="N8" s="85">
        <v>45</v>
      </c>
      <c r="O8" s="96">
        <f t="shared" si="2"/>
        <v>2.6785714285714284</v>
      </c>
    </row>
    <row r="9" spans="2:15">
      <c r="B9" s="85">
        <f t="shared" si="6"/>
        <v>5</v>
      </c>
      <c r="C9" s="87">
        <f t="shared" si="3"/>
        <v>14.715</v>
      </c>
      <c r="D9" s="85">
        <v>18</v>
      </c>
      <c r="E9" s="96">
        <f t="shared" si="0"/>
        <v>1.0714285714285714</v>
      </c>
      <c r="G9" s="85">
        <f t="shared" si="7"/>
        <v>5</v>
      </c>
      <c r="H9" s="87">
        <f t="shared" si="4"/>
        <v>14.715</v>
      </c>
      <c r="I9" s="85">
        <v>42</v>
      </c>
      <c r="J9" s="96">
        <f t="shared" si="1"/>
        <v>2.5</v>
      </c>
      <c r="L9" s="85">
        <f t="shared" si="8"/>
        <v>5</v>
      </c>
      <c r="M9" s="87">
        <f t="shared" si="5"/>
        <v>14.715</v>
      </c>
      <c r="N9" s="85">
        <v>50</v>
      </c>
      <c r="O9" s="96">
        <f t="shared" si="2"/>
        <v>2.9761904761904763</v>
      </c>
    </row>
    <row r="11" spans="2:15">
      <c r="C11" t="s">
        <v>216</v>
      </c>
      <c r="D11" s="85">
        <v>0.3</v>
      </c>
      <c r="H11" t="s">
        <v>216</v>
      </c>
      <c r="I11" s="85">
        <v>7.0000000000000007E-2</v>
      </c>
      <c r="M11" t="s">
        <v>216</v>
      </c>
      <c r="N11" s="85">
        <v>7.0000000000000007E-2</v>
      </c>
    </row>
    <row r="12" spans="2:15">
      <c r="C12" t="s">
        <v>217</v>
      </c>
      <c r="D12" s="85">
        <v>16.8</v>
      </c>
      <c r="H12" t="s">
        <v>217</v>
      </c>
      <c r="I12" s="85">
        <v>16.8</v>
      </c>
      <c r="M12" t="s">
        <v>217</v>
      </c>
      <c r="N12" s="85">
        <v>16.8</v>
      </c>
    </row>
    <row r="15" spans="2:15">
      <c r="C15" s="90" t="s">
        <v>219</v>
      </c>
      <c r="D15" s="92">
        <f>13.7</f>
        <v>13.7</v>
      </c>
      <c r="H15" s="90" t="s">
        <v>219</v>
      </c>
      <c r="I15" s="92">
        <f>5.88</f>
        <v>5.88</v>
      </c>
      <c r="M15" s="90" t="s">
        <v>219</v>
      </c>
      <c r="N15" s="92">
        <f>4.68</f>
        <v>4.68</v>
      </c>
    </row>
    <row r="16" spans="2:15">
      <c r="C16" s="87"/>
      <c r="D16" s="87"/>
    </row>
  </sheetData>
  <mergeCells count="1">
    <mergeCell ref="B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291A-8F1E-4C4A-BC32-E8F52881FB54}">
  <dimension ref="B3:M15"/>
  <sheetViews>
    <sheetView zoomScale="85" zoomScaleNormal="85" workbookViewId="0">
      <selection activeCell="H8" sqref="H8"/>
    </sheetView>
  </sheetViews>
  <sheetFormatPr defaultRowHeight="14.4"/>
  <cols>
    <col min="2" max="2" width="30.47265625" bestFit="1" customWidth="1"/>
    <col min="5" max="5" width="30.47265625" bestFit="1" customWidth="1"/>
    <col min="7" max="7" width="9.1015625" customWidth="1"/>
    <col min="8" max="8" width="22.47265625" customWidth="1"/>
    <col min="10" max="10" width="35.15625" bestFit="1" customWidth="1"/>
    <col min="13" max="13" width="21.3671875" customWidth="1"/>
  </cols>
  <sheetData>
    <row r="3" spans="2:13" ht="14.4" customHeight="1">
      <c r="B3" s="126" t="s">
        <v>233</v>
      </c>
      <c r="C3" s="126"/>
      <c r="D3" s="103"/>
      <c r="E3" s="126" t="s">
        <v>234</v>
      </c>
      <c r="F3" s="126"/>
      <c r="J3" s="126" t="s">
        <v>235</v>
      </c>
      <c r="K3" s="126"/>
      <c r="L3" s="103"/>
    </row>
    <row r="4" spans="2:13" ht="14.4" customHeight="1">
      <c r="B4" s="85" t="s">
        <v>231</v>
      </c>
      <c r="C4" s="85">
        <v>8</v>
      </c>
      <c r="D4" s="84"/>
      <c r="E4" s="85" t="s">
        <v>231</v>
      </c>
      <c r="F4" s="85">
        <v>15</v>
      </c>
      <c r="H4" s="133" t="s">
        <v>236</v>
      </c>
      <c r="J4" s="85" t="s">
        <v>231</v>
      </c>
      <c r="K4" s="85">
        <v>2.5</v>
      </c>
      <c r="L4" s="84"/>
      <c r="M4" s="133" t="s">
        <v>237</v>
      </c>
    </row>
    <row r="5" spans="2:13">
      <c r="B5" s="85" t="s">
        <v>232</v>
      </c>
      <c r="C5" s="85">
        <v>16.8</v>
      </c>
      <c r="D5" s="85"/>
      <c r="E5" s="85" t="s">
        <v>232</v>
      </c>
      <c r="F5" s="85">
        <v>16.8</v>
      </c>
      <c r="H5" s="133"/>
      <c r="J5" s="85" t="s">
        <v>232</v>
      </c>
      <c r="K5" s="85">
        <v>16.8</v>
      </c>
      <c r="L5" s="85"/>
      <c r="M5" s="133"/>
    </row>
    <row r="6" spans="2:13">
      <c r="B6" s="90" t="s">
        <v>238</v>
      </c>
      <c r="C6" s="92">
        <f>C4/C5</f>
        <v>0.47619047619047616</v>
      </c>
      <c r="D6" s="87"/>
      <c r="E6" s="90" t="s">
        <v>239</v>
      </c>
      <c r="F6" s="92">
        <f>F4/F5</f>
        <v>0.89285714285714279</v>
      </c>
      <c r="H6" s="133"/>
      <c r="J6" s="90" t="s">
        <v>240</v>
      </c>
      <c r="K6" s="92">
        <f>K4/K5</f>
        <v>0.14880952380952381</v>
      </c>
      <c r="L6" s="87"/>
      <c r="M6" s="133"/>
    </row>
    <row r="7" spans="2:13">
      <c r="B7" s="85"/>
      <c r="C7" s="85"/>
      <c r="D7" s="87"/>
    </row>
    <row r="8" spans="2:13">
      <c r="B8" s="105" t="s">
        <v>241</v>
      </c>
      <c r="C8" s="106">
        <v>27.5</v>
      </c>
      <c r="D8" s="87"/>
      <c r="E8" s="105" t="s">
        <v>241</v>
      </c>
      <c r="F8" s="106">
        <v>31.5</v>
      </c>
      <c r="J8" s="105" t="s">
        <v>242</v>
      </c>
      <c r="K8" s="106">
        <v>3.51</v>
      </c>
    </row>
    <row r="12" spans="2:13">
      <c r="B12" s="85"/>
    </row>
    <row r="13" spans="2:13">
      <c r="B13" s="85"/>
      <c r="C13" s="85"/>
      <c r="E13" s="133"/>
    </row>
    <row r="14" spans="2:13">
      <c r="B14" s="85"/>
      <c r="C14" s="85"/>
      <c r="E14" s="133"/>
    </row>
    <row r="15" spans="2:13">
      <c r="B15" s="104"/>
      <c r="C15" s="92"/>
      <c r="E15" s="133"/>
    </row>
  </sheetData>
  <mergeCells count="6">
    <mergeCell ref="J3:K3"/>
    <mergeCell ref="M4:M6"/>
    <mergeCell ref="H4:H6"/>
    <mergeCell ref="B3:C3"/>
    <mergeCell ref="E13:E15"/>
    <mergeCell ref="E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FRDPARRC</vt:lpstr>
      <vt:lpstr>A- CONCEPT1 ANALYSIS</vt:lpstr>
      <vt:lpstr>B-WEAR-REPEATABILITY</vt:lpstr>
      <vt:lpstr>C- LINEAR STIFFNESS EXPERIMENTS</vt:lpstr>
      <vt:lpstr>D-ANGULAR STIFFNESS EXPERIMENTS</vt:lpstr>
      <vt:lpstr>E-ACCURACY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sahils</dc:creator>
  <cp:lastModifiedBy>Victor PROST</cp:lastModifiedBy>
  <cp:lastPrinted>2018-02-16T18:10:56Z</cp:lastPrinted>
  <dcterms:created xsi:type="dcterms:W3CDTF">2018-02-15T00:30:26Z</dcterms:created>
  <dcterms:modified xsi:type="dcterms:W3CDTF">2018-05-12T15:09:58Z</dcterms:modified>
</cp:coreProperties>
</file>